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obligation\Share\229\Ashxatanqain\Ջանջուղազյան և Զարգարյան\Հրապարակման\2025\"/>
    </mc:Choice>
  </mc:AlternateContent>
  <bookViews>
    <workbookView xWindow="0" yWindow="0" windowWidth="28800" windowHeight="11205" firstSheet="1" activeTab="1"/>
  </bookViews>
  <sheets>
    <sheet name="հունվար" sheetId="40" state="hidden" r:id="rId1"/>
    <sheet name="փետրվոր" sheetId="41" r:id="rId2"/>
    <sheet name="բյուջետային երաշխիք" sheetId="3" r:id="rId3"/>
    <sheet name="Government Guarantees" sheetId="20" r:id="rId4"/>
  </sheets>
  <externalReferences>
    <externalReference r:id="rId5"/>
    <externalReference r:id="rId6"/>
    <externalReference r:id="rId7"/>
  </externalReferences>
  <definedNames>
    <definedName name="_xlnm._FilterDatabase" localSheetId="0" hidden="1">հունվար!$A$4:$AIW$156</definedName>
    <definedName name="_xlnm._FilterDatabase" localSheetId="1" hidden="1">փետրվոր!$A$4:$AIW$156</definedName>
    <definedName name="A4563g">#REF!</definedName>
    <definedName name="aaa" localSheetId="0">#REF!</definedName>
    <definedName name="aaa" localSheetId="1">#REF!</definedName>
    <definedName name="aaa">#REF!</definedName>
    <definedName name="aaaa" localSheetId="0">#REF!</definedName>
    <definedName name="aaaa" localSheetId="1">#REF!</definedName>
    <definedName name="aaaa">#REF!</definedName>
    <definedName name="Aghh">#REF!</definedName>
    <definedName name="ap8il1" localSheetId="0">#REF!</definedName>
    <definedName name="ap8il1" localSheetId="1">#REF!</definedName>
    <definedName name="ap8il1">#REF!</definedName>
    <definedName name="april" localSheetId="0">#REF!</definedName>
    <definedName name="april" localSheetId="1">#REF!</definedName>
    <definedName name="april">#REF!</definedName>
    <definedName name="fgd" localSheetId="0">#REF!</definedName>
    <definedName name="fgd" localSheetId="1">#REF!</definedName>
    <definedName name="fgd">#REF!</definedName>
    <definedName name="fhyj" localSheetId="0">#REF!</definedName>
    <definedName name="fhyj" localSheetId="1">#REF!</definedName>
    <definedName name="fhyj">#REF!</definedName>
    <definedName name="fhyj1" localSheetId="0">#REF!</definedName>
    <definedName name="fhyj1" localSheetId="1">#REF!</definedName>
    <definedName name="fhyj1">#REF!</definedName>
    <definedName name="ggg" localSheetId="0">#REF!</definedName>
    <definedName name="ggg" localSheetId="1">#REF!</definedName>
    <definedName name="ggg">#REF!</definedName>
    <definedName name="hjf" localSheetId="0">#REF!</definedName>
    <definedName name="hjf" localSheetId="1">#REF!</definedName>
    <definedName name="hjf">#REF!</definedName>
    <definedName name="Hulios1" localSheetId="0">#REF!</definedName>
    <definedName name="Hulios1" localSheetId="1">#REF!</definedName>
    <definedName name="Hulios1">#REF!</definedName>
    <definedName name="hulis" localSheetId="0">#REF!</definedName>
    <definedName name="hulis" localSheetId="1">#REF!</definedName>
    <definedName name="hulis">#REF!</definedName>
    <definedName name="hunvar" localSheetId="0">#REF!</definedName>
    <definedName name="hunvar" localSheetId="1">#REF!</definedName>
    <definedName name="hunvar">#REF!</definedName>
    <definedName name="kkk" localSheetId="0">#REF!</definedName>
    <definedName name="kkk" localSheetId="1">#REF!</definedName>
    <definedName name="kkk">#REF!</definedName>
    <definedName name="Lus" localSheetId="0">#REF!</definedName>
    <definedName name="Lus" localSheetId="1">#REF!</definedName>
    <definedName name="Lus">#REF!</definedName>
    <definedName name="Lusine" localSheetId="0">#REF!</definedName>
    <definedName name="Lusine" localSheetId="1">#REF!</definedName>
    <definedName name="Lusine">#REF!</definedName>
    <definedName name="Lusine1" localSheetId="0">#REF!</definedName>
    <definedName name="Lusine1" localSheetId="1">#REF!</definedName>
    <definedName name="Lusine1">#REF!</definedName>
    <definedName name="petrvar" localSheetId="0">#REF!</definedName>
    <definedName name="petrvar" localSheetId="1">#REF!</definedName>
    <definedName name="petrvar">#REF!</definedName>
    <definedName name="print" localSheetId="3">#REF!</definedName>
    <definedName name="print">#REF!</definedName>
    <definedName name="rrr" localSheetId="0">#REF!</definedName>
    <definedName name="rrr" localSheetId="1">#REF!</definedName>
    <definedName name="rrr">#REF!</definedName>
    <definedName name="Table1" localSheetId="0">#REF!</definedName>
    <definedName name="Table1" localSheetId="1">#REF!</definedName>
    <definedName name="Table1">#REF!</definedName>
    <definedName name="Table2" localSheetId="0">#REF!</definedName>
    <definedName name="Table2" localSheetId="1">#REF!</definedName>
    <definedName name="Table2">#REF!</definedName>
    <definedName name="uuu" localSheetId="0">#REF!</definedName>
    <definedName name="uuu" localSheetId="1">#REF!</definedName>
    <definedName name="uuu">#REF!</definedName>
    <definedName name="vff" localSheetId="0">#REF!</definedName>
    <definedName name="vff" localSheetId="1">#REF!</definedName>
    <definedName name="vff">#REF!</definedName>
    <definedName name="vlom" localSheetId="3">[1]VTB!#REF!</definedName>
    <definedName name="vlom">[1]VTB!#REF!</definedName>
    <definedName name="ամառ" localSheetId="0">#REF!</definedName>
    <definedName name="ամառ" localSheetId="1">#REF!</definedName>
    <definedName name="ամառ">#REF!</definedName>
    <definedName name="ապրիլ" localSheetId="0">#REF!</definedName>
    <definedName name="ապրիլ" localSheetId="1">#REF!</definedName>
    <definedName name="ապրիլ">#REF!</definedName>
    <definedName name="եեեե" localSheetId="0">#REF!</definedName>
    <definedName name="եեեե" localSheetId="1">#REF!</definedName>
    <definedName name="եեեե">#REF!</definedName>
    <definedName name="լուսինե" localSheetId="0">#REF!</definedName>
    <definedName name="լուսինե" localSheetId="1">#REF!</definedName>
    <definedName name="լուսինե">#REF!</definedName>
    <definedName name="հդհդհ" localSheetId="0">#REF!</definedName>
    <definedName name="հդհդհ" localSheetId="1">#REF!</definedName>
    <definedName name="հդհդհ">#REF!</definedName>
    <definedName name="հուլիս" localSheetId="0">#REF!</definedName>
    <definedName name="հուլիս" localSheetId="1">#REF!</definedName>
    <definedName name="հուլիս">#REF!</definedName>
    <definedName name="հունիս" localSheetId="0">#REF!</definedName>
    <definedName name="հունիս" localSheetId="1">#REF!</definedName>
    <definedName name="հունիս">#REF!</definedName>
    <definedName name="հֆգյֆ" localSheetId="0">#REF!</definedName>
    <definedName name="հֆգյֆ" localSheetId="1">#REF!</definedName>
    <definedName name="հֆգյֆ">#REF!</definedName>
    <definedName name="ձմեռ" localSheetId="0">#REF!</definedName>
    <definedName name="ձմեռ" localSheetId="1">#REF!</definedName>
    <definedName name="ձմեռ">#REF!</definedName>
    <definedName name="յգհյհ">#REF!</definedName>
    <definedName name="նոյեմբեր4" localSheetId="0">#REF!</definedName>
    <definedName name="նոյեմբեր4" localSheetId="1">#REF!</definedName>
    <definedName name="նոյեմբեր4">#REF!</definedName>
    <definedName name="սեպտեմբեր" localSheetId="0">#REF!</definedName>
    <definedName name="սեպտեմբեր" localSheetId="1">#REF!</definedName>
    <definedName name="սեպտեմբեր">#REF!</definedName>
    <definedName name="օգոտոս" localSheetId="0">#REF!</definedName>
    <definedName name="օգոտոս" localSheetId="1">#REF!</definedName>
    <definedName name="օգոտոս">#REF!</definedName>
    <definedName name="օգօստօս" localSheetId="0">#REF!</definedName>
    <definedName name="օգօստօս" localSheetId="1">#REF!</definedName>
    <definedName name="օգօստօ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1" i="41" l="1"/>
  <c r="J151" i="41"/>
  <c r="L150" i="41"/>
  <c r="L149" i="41"/>
  <c r="L148" i="41"/>
  <c r="L147" i="41"/>
  <c r="L146" i="41"/>
  <c r="J145" i="41"/>
  <c r="J144" i="41"/>
  <c r="M142" i="41"/>
  <c r="J142" i="41"/>
  <c r="O141" i="41"/>
  <c r="O140" i="41"/>
  <c r="N140" i="41"/>
  <c r="N139" i="41"/>
  <c r="M139" i="41"/>
  <c r="O139" i="41" s="1"/>
  <c r="O138" i="41"/>
  <c r="N138" i="41"/>
  <c r="O137" i="41"/>
  <c r="N137" i="41"/>
  <c r="O136" i="41"/>
  <c r="N136" i="41"/>
  <c r="N135" i="41"/>
  <c r="M135" i="41"/>
  <c r="O135" i="41" s="1"/>
  <c r="N134" i="41"/>
  <c r="O134" i="41" s="1"/>
  <c r="M134" i="41"/>
  <c r="N133" i="41"/>
  <c r="K133" i="41"/>
  <c r="O133" i="41" s="1"/>
  <c r="O132" i="41"/>
  <c r="N132" i="41"/>
  <c r="N131" i="41"/>
  <c r="M131" i="41"/>
  <c r="K131" i="41"/>
  <c r="J131" i="41"/>
  <c r="N130" i="41"/>
  <c r="M130" i="41"/>
  <c r="O130" i="41" s="1"/>
  <c r="O129" i="41"/>
  <c r="N129" i="41"/>
  <c r="N128" i="41"/>
  <c r="M128" i="41"/>
  <c r="K128" i="41"/>
  <c r="O127" i="41"/>
  <c r="N127" i="41"/>
  <c r="O126" i="41"/>
  <c r="N126" i="41"/>
  <c r="O125" i="41"/>
  <c r="K124" i="41"/>
  <c r="J124" i="41"/>
  <c r="N123" i="41"/>
  <c r="M123" i="41"/>
  <c r="O123" i="41" s="1"/>
  <c r="O122" i="41"/>
  <c r="N121" i="41"/>
  <c r="M121" i="41"/>
  <c r="O120" i="41"/>
  <c r="O145" i="41" s="1"/>
  <c r="N120" i="41"/>
  <c r="N145" i="41" s="1"/>
  <c r="M120" i="41"/>
  <c r="M145" i="41" s="1"/>
  <c r="K120" i="41"/>
  <c r="K145" i="41" s="1"/>
  <c r="J120" i="41"/>
  <c r="O119" i="41"/>
  <c r="O144" i="41" s="1"/>
  <c r="N119" i="41"/>
  <c r="N144" i="41" s="1"/>
  <c r="M119" i="41"/>
  <c r="M144" i="41" s="1"/>
  <c r="K119" i="41"/>
  <c r="K144" i="41" s="1"/>
  <c r="J119" i="41"/>
  <c r="O117" i="41"/>
  <c r="O142" i="41" s="1"/>
  <c r="N117" i="41"/>
  <c r="N142" i="41" s="1"/>
  <c r="M117" i="41"/>
  <c r="K117" i="41"/>
  <c r="K142" i="41" s="1"/>
  <c r="J117" i="41"/>
  <c r="N116" i="41"/>
  <c r="M116" i="41"/>
  <c r="K116" i="41"/>
  <c r="K118" i="41" s="1"/>
  <c r="J116" i="41"/>
  <c r="O115" i="41"/>
  <c r="O114" i="41"/>
  <c r="N114" i="41"/>
  <c r="O113" i="41"/>
  <c r="N113" i="41"/>
  <c r="O112" i="41"/>
  <c r="N112" i="41"/>
  <c r="M111" i="41"/>
  <c r="J111" i="41"/>
  <c r="O110" i="41"/>
  <c r="N110" i="41"/>
  <c r="M110" i="41"/>
  <c r="K110" i="41"/>
  <c r="J110" i="41"/>
  <c r="K109" i="41"/>
  <c r="J109" i="41"/>
  <c r="J108" i="41"/>
  <c r="O106" i="41"/>
  <c r="N106" i="41"/>
  <c r="O105" i="41"/>
  <c r="N105" i="41"/>
  <c r="M105" i="41"/>
  <c r="N104" i="41"/>
  <c r="M104" i="41"/>
  <c r="O104" i="41" s="1"/>
  <c r="O103" i="41"/>
  <c r="N102" i="41"/>
  <c r="M102" i="41"/>
  <c r="O102" i="41" s="1"/>
  <c r="O101" i="41"/>
  <c r="M100" i="41"/>
  <c r="O100" i="41" s="1"/>
  <c r="O99" i="41"/>
  <c r="O98" i="41"/>
  <c r="O97" i="41"/>
  <c r="N95" i="41"/>
  <c r="J95" i="41"/>
  <c r="J107" i="41" s="1"/>
  <c r="N94" i="41"/>
  <c r="M94" i="41"/>
  <c r="O94" i="41" s="1"/>
  <c r="O93" i="41"/>
  <c r="N93" i="41"/>
  <c r="N92" i="41"/>
  <c r="M92" i="41"/>
  <c r="O92" i="41" s="1"/>
  <c r="N91" i="41"/>
  <c r="M91" i="41"/>
  <c r="O91" i="41" s="1"/>
  <c r="N90" i="41"/>
  <c r="M90" i="41"/>
  <c r="O90" i="41" s="1"/>
  <c r="N89" i="41"/>
  <c r="M89" i="41"/>
  <c r="O89" i="41" s="1"/>
  <c r="N88" i="41"/>
  <c r="M88" i="41"/>
  <c r="O88" i="41" s="1"/>
  <c r="K87" i="41"/>
  <c r="O87" i="41" s="1"/>
  <c r="O86" i="41"/>
  <c r="O85" i="41"/>
  <c r="O84" i="41"/>
  <c r="N83" i="41"/>
  <c r="M83" i="41"/>
  <c r="O83" i="41" s="1"/>
  <c r="N82" i="41"/>
  <c r="M82" i="41"/>
  <c r="O82" i="41" s="1"/>
  <c r="K81" i="41"/>
  <c r="O81" i="41" s="1"/>
  <c r="K80" i="41"/>
  <c r="O80" i="41" s="1"/>
  <c r="O79" i="41"/>
  <c r="N78" i="41"/>
  <c r="M78" i="41"/>
  <c r="M107" i="41" s="1"/>
  <c r="N77" i="41"/>
  <c r="M77" i="41"/>
  <c r="O77" i="41" s="1"/>
  <c r="O76" i="41"/>
  <c r="N76" i="41"/>
  <c r="M76" i="41"/>
  <c r="K76" i="41"/>
  <c r="J76" i="41"/>
  <c r="K75" i="41"/>
  <c r="J75" i="41"/>
  <c r="K74" i="41"/>
  <c r="J74" i="41"/>
  <c r="K73" i="41"/>
  <c r="J73" i="41"/>
  <c r="O72" i="41"/>
  <c r="N72" i="41"/>
  <c r="N71" i="41"/>
  <c r="M71" i="41"/>
  <c r="O71" i="41" s="1"/>
  <c r="N70" i="41"/>
  <c r="M70" i="41"/>
  <c r="O70" i="41" s="1"/>
  <c r="N69" i="41"/>
  <c r="M69" i="41"/>
  <c r="N68" i="41"/>
  <c r="N73" i="41" s="1"/>
  <c r="M68" i="41"/>
  <c r="M73" i="41" s="1"/>
  <c r="O67" i="41"/>
  <c r="N66" i="41"/>
  <c r="M66" i="41"/>
  <c r="O65" i="41"/>
  <c r="N65" i="41"/>
  <c r="M65" i="41"/>
  <c r="K65" i="41"/>
  <c r="J65" i="41"/>
  <c r="O64" i="41"/>
  <c r="N64" i="41"/>
  <c r="M64" i="41"/>
  <c r="K64" i="41"/>
  <c r="J64" i="41"/>
  <c r="N63" i="41"/>
  <c r="K63" i="41"/>
  <c r="J63" i="41"/>
  <c r="J62" i="41"/>
  <c r="M61" i="41"/>
  <c r="O61" i="41" s="1"/>
  <c r="M60" i="41"/>
  <c r="K60" i="41"/>
  <c r="N59" i="41"/>
  <c r="N62" i="41" s="1"/>
  <c r="M59" i="41"/>
  <c r="O59" i="41" s="1"/>
  <c r="M58" i="41"/>
  <c r="O58" i="41" s="1"/>
  <c r="M57" i="41"/>
  <c r="O57" i="41" s="1"/>
  <c r="M56" i="41"/>
  <c r="O56" i="41" s="1"/>
  <c r="K55" i="41"/>
  <c r="K150" i="41" s="1"/>
  <c r="J55" i="41"/>
  <c r="J150" i="41" s="1"/>
  <c r="K54" i="41"/>
  <c r="J54" i="41"/>
  <c r="K53" i="41"/>
  <c r="J52" i="41"/>
  <c r="J51" i="41"/>
  <c r="O50" i="41"/>
  <c r="N50" i="41"/>
  <c r="O49" i="41"/>
  <c r="N49" i="41"/>
  <c r="N48" i="41"/>
  <c r="M48" i="41"/>
  <c r="K48" i="41"/>
  <c r="N47" i="41"/>
  <c r="M47" i="41"/>
  <c r="O47" i="41" s="1"/>
  <c r="O46" i="41"/>
  <c r="N45" i="41"/>
  <c r="M45" i="41"/>
  <c r="O45" i="41" s="1"/>
  <c r="N44" i="41"/>
  <c r="M44" i="41"/>
  <c r="O44" i="41" s="1"/>
  <c r="N43" i="41"/>
  <c r="M43" i="41"/>
  <c r="O43" i="41" s="1"/>
  <c r="O42" i="41"/>
  <c r="K41" i="41"/>
  <c r="N40" i="41"/>
  <c r="M40" i="41"/>
  <c r="O40" i="41" s="1"/>
  <c r="N39" i="41"/>
  <c r="M39" i="41"/>
  <c r="O39" i="41" s="1"/>
  <c r="N38" i="41"/>
  <c r="M38" i="41"/>
  <c r="O38" i="41" s="1"/>
  <c r="N37" i="41"/>
  <c r="M37" i="41"/>
  <c r="O37" i="41" s="1"/>
  <c r="N36" i="41"/>
  <c r="M36" i="41"/>
  <c r="O36" i="41" s="1"/>
  <c r="O35" i="41"/>
  <c r="N35" i="41"/>
  <c r="N34" i="41"/>
  <c r="M34" i="41"/>
  <c r="O34" i="41" s="1"/>
  <c r="N33" i="41"/>
  <c r="M33" i="41"/>
  <c r="O33" i="41" s="1"/>
  <c r="N32" i="41"/>
  <c r="M32" i="41"/>
  <c r="O32" i="41" s="1"/>
  <c r="N31" i="41"/>
  <c r="M31" i="41"/>
  <c r="O31" i="41" s="1"/>
  <c r="N30" i="41"/>
  <c r="M30" i="41"/>
  <c r="O30" i="41" s="1"/>
  <c r="N29" i="41"/>
  <c r="M29" i="41"/>
  <c r="O29" i="41" s="1"/>
  <c r="N28" i="41"/>
  <c r="M28" i="41"/>
  <c r="O28" i="41" s="1"/>
  <c r="N27" i="41"/>
  <c r="M27" i="41"/>
  <c r="O27" i="41" s="1"/>
  <c r="N26" i="41"/>
  <c r="M26" i="41"/>
  <c r="O26" i="41" s="1"/>
  <c r="N25" i="41"/>
  <c r="M25" i="41"/>
  <c r="O25" i="41" s="1"/>
  <c r="O24" i="41"/>
  <c r="O23" i="41"/>
  <c r="O22" i="41"/>
  <c r="N22" i="41"/>
  <c r="O21" i="41"/>
  <c r="N21" i="41"/>
  <c r="O20" i="41"/>
  <c r="N20" i="41"/>
  <c r="O19" i="41"/>
  <c r="N19" i="41"/>
  <c r="N18" i="41"/>
  <c r="M18" i="41"/>
  <c r="O18" i="41" s="1"/>
  <c r="N17" i="41"/>
  <c r="M17" i="41"/>
  <c r="O17" i="41" s="1"/>
  <c r="J17" i="41"/>
  <c r="N16" i="41"/>
  <c r="M16" i="41"/>
  <c r="O16" i="41" s="1"/>
  <c r="N15" i="41"/>
  <c r="M15" i="41"/>
  <c r="O15" i="41" s="1"/>
  <c r="J15" i="41"/>
  <c r="O14" i="41"/>
  <c r="O13" i="41"/>
  <c r="N13" i="41"/>
  <c r="O12" i="41"/>
  <c r="O11" i="41"/>
  <c r="O10" i="41"/>
  <c r="N10" i="41"/>
  <c r="O9" i="41"/>
  <c r="N9" i="41"/>
  <c r="O8" i="41"/>
  <c r="N8" i="41"/>
  <c r="N7" i="41"/>
  <c r="M7" i="41"/>
  <c r="O7" i="41" s="1"/>
  <c r="N6" i="41"/>
  <c r="M6" i="41"/>
  <c r="O6" i="41" s="1"/>
  <c r="N5" i="41"/>
  <c r="M5" i="41"/>
  <c r="K5" i="41"/>
  <c r="K51" i="41" s="1"/>
  <c r="M74" i="41" l="1"/>
  <c r="N53" i="41"/>
  <c r="N55" i="41"/>
  <c r="N150" i="41" s="1"/>
  <c r="O78" i="41"/>
  <c r="O116" i="41"/>
  <c r="N108" i="41"/>
  <c r="M143" i="41"/>
  <c r="O5" i="41"/>
  <c r="O51" i="41" s="1"/>
  <c r="N54" i="41"/>
  <c r="N149" i="41" s="1"/>
  <c r="O66" i="41"/>
  <c r="O68" i="41"/>
  <c r="M118" i="41"/>
  <c r="J143" i="41"/>
  <c r="O151" i="41"/>
  <c r="J53" i="41"/>
  <c r="J148" i="41" s="1"/>
  <c r="N52" i="41"/>
  <c r="O48" i="41"/>
  <c r="N75" i="41"/>
  <c r="K95" i="41"/>
  <c r="O95" i="41" s="1"/>
  <c r="O131" i="41"/>
  <c r="K148" i="41"/>
  <c r="O63" i="41"/>
  <c r="N74" i="41"/>
  <c r="O121" i="41"/>
  <c r="M54" i="41"/>
  <c r="M149" i="41" s="1"/>
  <c r="J149" i="41"/>
  <c r="O60" i="41"/>
  <c r="N109" i="41"/>
  <c r="N148" i="41" s="1"/>
  <c r="O111" i="41"/>
  <c r="O118" i="41" s="1"/>
  <c r="N118" i="41"/>
  <c r="O128" i="41"/>
  <c r="O62" i="41"/>
  <c r="N143" i="41"/>
  <c r="O108" i="41"/>
  <c r="K149" i="41"/>
  <c r="O109" i="41"/>
  <c r="O41" i="41"/>
  <c r="K52" i="41"/>
  <c r="M53" i="41"/>
  <c r="M55" i="41"/>
  <c r="M150" i="41" s="1"/>
  <c r="N107" i="41"/>
  <c r="J118" i="41"/>
  <c r="M75" i="41"/>
  <c r="O69" i="41"/>
  <c r="K143" i="41"/>
  <c r="O124" i="41"/>
  <c r="O55" i="41"/>
  <c r="O150" i="41" s="1"/>
  <c r="M62" i="41"/>
  <c r="M51" i="41"/>
  <c r="M63" i="41"/>
  <c r="O73" i="41"/>
  <c r="N51" i="41"/>
  <c r="O53" i="41"/>
  <c r="M52" i="41"/>
  <c r="J146" i="41"/>
  <c r="O54" i="41"/>
  <c r="O149" i="41" s="1"/>
  <c r="K62" i="41"/>
  <c r="O74" i="41"/>
  <c r="M108" i="41"/>
  <c r="K108" i="41"/>
  <c r="M109" i="41"/>
  <c r="K151" i="40"/>
  <c r="O151" i="40" s="1"/>
  <c r="J151" i="40"/>
  <c r="L150" i="40"/>
  <c r="L149" i="40"/>
  <c r="L148" i="40"/>
  <c r="L147" i="40"/>
  <c r="L146" i="40"/>
  <c r="J145" i="40"/>
  <c r="J144" i="40"/>
  <c r="M142" i="40"/>
  <c r="J142" i="40"/>
  <c r="O141" i="40"/>
  <c r="O140" i="40"/>
  <c r="N140" i="40"/>
  <c r="N139" i="40"/>
  <c r="M139" i="40"/>
  <c r="O139" i="40" s="1"/>
  <c r="O138" i="40"/>
  <c r="N138" i="40"/>
  <c r="O137" i="40"/>
  <c r="N137" i="40"/>
  <c r="O136" i="40"/>
  <c r="N136" i="40"/>
  <c r="N135" i="40"/>
  <c r="M135" i="40"/>
  <c r="O135" i="40" s="1"/>
  <c r="N134" i="40"/>
  <c r="O134" i="40" s="1"/>
  <c r="M134" i="40"/>
  <c r="N133" i="40"/>
  <c r="K133" i="40"/>
  <c r="O133" i="40" s="1"/>
  <c r="O132" i="40"/>
  <c r="N132" i="40"/>
  <c r="N131" i="40"/>
  <c r="M131" i="40"/>
  <c r="K131" i="40"/>
  <c r="J131" i="40"/>
  <c r="N130" i="40"/>
  <c r="M130" i="40"/>
  <c r="O130" i="40" s="1"/>
  <c r="O129" i="40"/>
  <c r="N129" i="40"/>
  <c r="N128" i="40"/>
  <c r="M128" i="40"/>
  <c r="K128" i="40"/>
  <c r="O127" i="40"/>
  <c r="N127" i="40"/>
  <c r="O126" i="40"/>
  <c r="N126" i="40"/>
  <c r="O125" i="40"/>
  <c r="K124" i="40"/>
  <c r="J124" i="40"/>
  <c r="N123" i="40"/>
  <c r="M123" i="40"/>
  <c r="O123" i="40" s="1"/>
  <c r="O122" i="40"/>
  <c r="N121" i="40"/>
  <c r="M121" i="40"/>
  <c r="O121" i="40" s="1"/>
  <c r="O120" i="40"/>
  <c r="O145" i="40" s="1"/>
  <c r="N120" i="40"/>
  <c r="N145" i="40" s="1"/>
  <c r="M120" i="40"/>
  <c r="M145" i="40" s="1"/>
  <c r="K120" i="40"/>
  <c r="K145" i="40" s="1"/>
  <c r="J120" i="40"/>
  <c r="O119" i="40"/>
  <c r="O144" i="40" s="1"/>
  <c r="N119" i="40"/>
  <c r="N144" i="40" s="1"/>
  <c r="M119" i="40"/>
  <c r="M144" i="40" s="1"/>
  <c r="K119" i="40"/>
  <c r="K144" i="40" s="1"/>
  <c r="J119" i="40"/>
  <c r="O117" i="40"/>
  <c r="O142" i="40" s="1"/>
  <c r="N117" i="40"/>
  <c r="N142" i="40" s="1"/>
  <c r="M117" i="40"/>
  <c r="K117" i="40"/>
  <c r="K142" i="40" s="1"/>
  <c r="J117" i="40"/>
  <c r="N116" i="40"/>
  <c r="M116" i="40"/>
  <c r="K116" i="40"/>
  <c r="O116" i="40" s="1"/>
  <c r="J116" i="40"/>
  <c r="O115" i="40"/>
  <c r="O114" i="40"/>
  <c r="N114" i="40"/>
  <c r="O113" i="40"/>
  <c r="N113" i="40"/>
  <c r="O112" i="40"/>
  <c r="N112" i="40"/>
  <c r="M111" i="40"/>
  <c r="M118" i="40" s="1"/>
  <c r="J111" i="40"/>
  <c r="O110" i="40"/>
  <c r="N110" i="40"/>
  <c r="M110" i="40"/>
  <c r="K110" i="40"/>
  <c r="J110" i="40"/>
  <c r="K109" i="40"/>
  <c r="J109" i="40"/>
  <c r="J108" i="40"/>
  <c r="O106" i="40"/>
  <c r="N106" i="40"/>
  <c r="N105" i="40"/>
  <c r="M105" i="40"/>
  <c r="O105" i="40" s="1"/>
  <c r="N104" i="40"/>
  <c r="M104" i="40"/>
  <c r="O104" i="40" s="1"/>
  <c r="O103" i="40"/>
  <c r="N102" i="40"/>
  <c r="M102" i="40"/>
  <c r="O102" i="40" s="1"/>
  <c r="O101" i="40"/>
  <c r="M100" i="40"/>
  <c r="O100" i="40" s="1"/>
  <c r="O99" i="40"/>
  <c r="O98" i="40"/>
  <c r="O97" i="40"/>
  <c r="N95" i="40"/>
  <c r="J95" i="40"/>
  <c r="N94" i="40"/>
  <c r="M94" i="40"/>
  <c r="O94" i="40" s="1"/>
  <c r="O93" i="40"/>
  <c r="N93" i="40"/>
  <c r="N92" i="40"/>
  <c r="M92" i="40"/>
  <c r="O92" i="40" s="1"/>
  <c r="N91" i="40"/>
  <c r="M91" i="40"/>
  <c r="O91" i="40" s="1"/>
  <c r="N90" i="40"/>
  <c r="M90" i="40"/>
  <c r="O90" i="40" s="1"/>
  <c r="N89" i="40"/>
  <c r="M89" i="40"/>
  <c r="O89" i="40" s="1"/>
  <c r="N88" i="40"/>
  <c r="M88" i="40"/>
  <c r="O88" i="40" s="1"/>
  <c r="K87" i="40"/>
  <c r="O87" i="40" s="1"/>
  <c r="O86" i="40"/>
  <c r="O85" i="40"/>
  <c r="O84" i="40"/>
  <c r="N83" i="40"/>
  <c r="M83" i="40"/>
  <c r="O83" i="40" s="1"/>
  <c r="N82" i="40"/>
  <c r="M82" i="40"/>
  <c r="O82" i="40" s="1"/>
  <c r="K81" i="40"/>
  <c r="O81" i="40" s="1"/>
  <c r="K80" i="40"/>
  <c r="O79" i="40"/>
  <c r="N78" i="40"/>
  <c r="M78" i="40"/>
  <c r="O78" i="40" s="1"/>
  <c r="N77" i="40"/>
  <c r="M77" i="40"/>
  <c r="O76" i="40"/>
  <c r="N76" i="40"/>
  <c r="M76" i="40"/>
  <c r="K76" i="40"/>
  <c r="J76" i="40"/>
  <c r="K75" i="40"/>
  <c r="J75" i="40"/>
  <c r="K74" i="40"/>
  <c r="J74" i="40"/>
  <c r="K73" i="40"/>
  <c r="J73" i="40"/>
  <c r="O72" i="40"/>
  <c r="N72" i="40"/>
  <c r="N71" i="40"/>
  <c r="M71" i="40"/>
  <c r="O71" i="40" s="1"/>
  <c r="N70" i="40"/>
  <c r="M70" i="40"/>
  <c r="O70" i="40" s="1"/>
  <c r="O69" i="40"/>
  <c r="N69" i="40"/>
  <c r="M69" i="40"/>
  <c r="N68" i="40"/>
  <c r="N73" i="40" s="1"/>
  <c r="M68" i="40"/>
  <c r="M73" i="40" s="1"/>
  <c r="O67" i="40"/>
  <c r="N66" i="40"/>
  <c r="M66" i="40"/>
  <c r="O66" i="40" s="1"/>
  <c r="O65" i="40"/>
  <c r="N65" i="40"/>
  <c r="M65" i="40"/>
  <c r="K65" i="40"/>
  <c r="J65" i="40"/>
  <c r="O64" i="40"/>
  <c r="N64" i="40"/>
  <c r="M64" i="40"/>
  <c r="K64" i="40"/>
  <c r="J64" i="40"/>
  <c r="N63" i="40"/>
  <c r="K63" i="40"/>
  <c r="J63" i="40"/>
  <c r="J62" i="40"/>
  <c r="M61" i="40"/>
  <c r="O61" i="40" s="1"/>
  <c r="M60" i="40"/>
  <c r="K60" i="40"/>
  <c r="K62" i="40" s="1"/>
  <c r="N59" i="40"/>
  <c r="N62" i="40" s="1"/>
  <c r="M59" i="40"/>
  <c r="O59" i="40" s="1"/>
  <c r="M58" i="40"/>
  <c r="O58" i="40" s="1"/>
  <c r="M57" i="40"/>
  <c r="O57" i="40" s="1"/>
  <c r="M56" i="40"/>
  <c r="K55" i="40"/>
  <c r="K150" i="40" s="1"/>
  <c r="J55" i="40"/>
  <c r="J150" i="40" s="1"/>
  <c r="K54" i="40"/>
  <c r="J54" i="40"/>
  <c r="K53" i="40"/>
  <c r="J52" i="40"/>
  <c r="J51" i="40"/>
  <c r="O50" i="40"/>
  <c r="N50" i="40"/>
  <c r="O49" i="40"/>
  <c r="N49" i="40"/>
  <c r="N48" i="40"/>
  <c r="M48" i="40"/>
  <c r="K48" i="40"/>
  <c r="O48" i="40" s="1"/>
  <c r="N47" i="40"/>
  <c r="M47" i="40"/>
  <c r="O47" i="40" s="1"/>
  <c r="O46" i="40"/>
  <c r="N45" i="40"/>
  <c r="M45" i="40"/>
  <c r="O45" i="40" s="1"/>
  <c r="N44" i="40"/>
  <c r="M44" i="40"/>
  <c r="O44" i="40" s="1"/>
  <c r="N43" i="40"/>
  <c r="M43" i="40"/>
  <c r="O43" i="40" s="1"/>
  <c r="O42" i="40"/>
  <c r="K41" i="40"/>
  <c r="N40" i="40"/>
  <c r="M40" i="40"/>
  <c r="O40" i="40" s="1"/>
  <c r="N39" i="40"/>
  <c r="M39" i="40"/>
  <c r="O39" i="40" s="1"/>
  <c r="N38" i="40"/>
  <c r="M38" i="40"/>
  <c r="O38" i="40" s="1"/>
  <c r="N37" i="40"/>
  <c r="M37" i="40"/>
  <c r="O37" i="40" s="1"/>
  <c r="N36" i="40"/>
  <c r="M36" i="40"/>
  <c r="O36" i="40" s="1"/>
  <c r="O35" i="40"/>
  <c r="N35" i="40"/>
  <c r="O34" i="40"/>
  <c r="N34" i="40"/>
  <c r="M34" i="40"/>
  <c r="N33" i="40"/>
  <c r="M33" i="40"/>
  <c r="O33" i="40" s="1"/>
  <c r="N32" i="40"/>
  <c r="M32" i="40"/>
  <c r="O32" i="40" s="1"/>
  <c r="N31" i="40"/>
  <c r="M31" i="40"/>
  <c r="O31" i="40" s="1"/>
  <c r="N30" i="40"/>
  <c r="M30" i="40"/>
  <c r="O30" i="40" s="1"/>
  <c r="N29" i="40"/>
  <c r="M29" i="40"/>
  <c r="O29" i="40" s="1"/>
  <c r="N28" i="40"/>
  <c r="M28" i="40"/>
  <c r="O28" i="40" s="1"/>
  <c r="N27" i="40"/>
  <c r="M27" i="40"/>
  <c r="O27" i="40" s="1"/>
  <c r="N26" i="40"/>
  <c r="M26" i="40"/>
  <c r="O26" i="40" s="1"/>
  <c r="N25" i="40"/>
  <c r="M25" i="40"/>
  <c r="O24" i="40"/>
  <c r="O23" i="40"/>
  <c r="O22" i="40"/>
  <c r="N22" i="40"/>
  <c r="O21" i="40"/>
  <c r="N21" i="40"/>
  <c r="O20" i="40"/>
  <c r="N20" i="40"/>
  <c r="O19" i="40"/>
  <c r="N19" i="40"/>
  <c r="N18" i="40"/>
  <c r="M18" i="40"/>
  <c r="O18" i="40" s="1"/>
  <c r="N17" i="40"/>
  <c r="M17" i="40"/>
  <c r="O17" i="40" s="1"/>
  <c r="J17" i="40"/>
  <c r="N16" i="40"/>
  <c r="M16" i="40"/>
  <c r="N15" i="40"/>
  <c r="M15" i="40"/>
  <c r="O15" i="40" s="1"/>
  <c r="J15" i="40"/>
  <c r="O14" i="40"/>
  <c r="O13" i="40"/>
  <c r="N13" i="40"/>
  <c r="O12" i="40"/>
  <c r="O11" i="40"/>
  <c r="O10" i="40"/>
  <c r="N10" i="40"/>
  <c r="O9" i="40"/>
  <c r="N9" i="40"/>
  <c r="O8" i="40"/>
  <c r="N8" i="40"/>
  <c r="N7" i="40"/>
  <c r="M7" i="40"/>
  <c r="O7" i="40" s="1"/>
  <c r="N6" i="40"/>
  <c r="M6" i="40"/>
  <c r="O6" i="40" s="1"/>
  <c r="N5" i="40"/>
  <c r="M5" i="40"/>
  <c r="K5" i="40"/>
  <c r="K51" i="40" s="1"/>
  <c r="J147" i="41" l="1"/>
  <c r="N146" i="41"/>
  <c r="N147" i="41"/>
  <c r="M146" i="41"/>
  <c r="K107" i="41"/>
  <c r="K146" i="41" s="1"/>
  <c r="O143" i="41"/>
  <c r="O107" i="41"/>
  <c r="O146" i="41" s="1"/>
  <c r="M147" i="41"/>
  <c r="O75" i="41"/>
  <c r="O148" i="41" s="1"/>
  <c r="M148" i="41"/>
  <c r="K147" i="41"/>
  <c r="O52" i="41"/>
  <c r="N74" i="40"/>
  <c r="J143" i="40"/>
  <c r="O128" i="40"/>
  <c r="J149" i="40"/>
  <c r="O68" i="40"/>
  <c r="O73" i="40" s="1"/>
  <c r="K143" i="40"/>
  <c r="M62" i="40"/>
  <c r="O111" i="40"/>
  <c r="O118" i="40" s="1"/>
  <c r="N54" i="40"/>
  <c r="N53" i="40"/>
  <c r="O5" i="40"/>
  <c r="O51" i="40" s="1"/>
  <c r="N75" i="40"/>
  <c r="N109" i="40"/>
  <c r="K108" i="40"/>
  <c r="J118" i="40"/>
  <c r="J147" i="40" s="1"/>
  <c r="K149" i="40"/>
  <c r="O56" i="40"/>
  <c r="M75" i="40"/>
  <c r="M143" i="40"/>
  <c r="N55" i="40"/>
  <c r="N150" i="40" s="1"/>
  <c r="K52" i="40"/>
  <c r="K118" i="40"/>
  <c r="N107" i="40"/>
  <c r="N51" i="40"/>
  <c r="M54" i="40"/>
  <c r="M149" i="40" s="1"/>
  <c r="O60" i="40"/>
  <c r="O62" i="40" s="1"/>
  <c r="O131" i="40"/>
  <c r="O63" i="40"/>
  <c r="M51" i="40"/>
  <c r="J53" i="40"/>
  <c r="J148" i="40" s="1"/>
  <c r="O16" i="40"/>
  <c r="M52" i="40"/>
  <c r="N149" i="40"/>
  <c r="O41" i="40"/>
  <c r="K148" i="40"/>
  <c r="O80" i="40"/>
  <c r="O124" i="40"/>
  <c r="O53" i="40"/>
  <c r="M53" i="40"/>
  <c r="O54" i="40"/>
  <c r="O149" i="40" s="1"/>
  <c r="O74" i="40"/>
  <c r="M74" i="40"/>
  <c r="N108" i="40"/>
  <c r="M107" i="40"/>
  <c r="M108" i="40"/>
  <c r="N52" i="40"/>
  <c r="M55" i="40"/>
  <c r="M150" i="40" s="1"/>
  <c r="O25" i="40"/>
  <c r="M63" i="40"/>
  <c r="O75" i="40"/>
  <c r="M109" i="40"/>
  <c r="O77" i="40"/>
  <c r="O108" i="40"/>
  <c r="K95" i="40"/>
  <c r="O95" i="40" s="1"/>
  <c r="J107" i="40"/>
  <c r="J146" i="40" s="1"/>
  <c r="N118" i="40"/>
  <c r="N143" i="40"/>
  <c r="E23" i="3"/>
  <c r="H4" i="20"/>
  <c r="O147" i="41" l="1"/>
  <c r="O52" i="40"/>
  <c r="N148" i="40"/>
  <c r="K147" i="40"/>
  <c r="N146" i="40"/>
  <c r="N147" i="40"/>
  <c r="K107" i="40"/>
  <c r="K146" i="40" s="1"/>
  <c r="O109" i="40"/>
  <c r="O148" i="40" s="1"/>
  <c r="O107" i="40"/>
  <c r="O146" i="40" s="1"/>
  <c r="O55" i="40"/>
  <c r="O150" i="40" s="1"/>
  <c r="M148" i="40"/>
  <c r="M147" i="40"/>
  <c r="M146" i="40"/>
  <c r="O143" i="40"/>
  <c r="O147" i="40" s="1"/>
  <c r="G4" i="20"/>
  <c r="D23" i="3"/>
</calcChain>
</file>

<file path=xl/comments1.xml><?xml version="1.0" encoding="utf-8"?>
<comments xmlns="http://schemas.openxmlformats.org/spreadsheetml/2006/main">
  <authors>
    <author>Lusine Grigoryan</author>
    <author>Susanna Sargsyan</author>
    <author>Armen Manukyan</author>
  </authors>
  <commentList>
    <comment ref="G8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</t>
        </r>
      </text>
    </comment>
    <comment ref="G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KFW-09122014-1</t>
        </r>
      </text>
    </comment>
    <comment ref="G1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IBRD-01062011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Համաձայն 26.04.2017թ. կնքված համաձայնագրի  մասհանման վերջնաժամկետ է սահմանվել 30.06.2018թ. (30.06.2016 փոխարեն)
Համաձայն 23.11.2018թ. կնքված համաձայնագրի մասհանման վերջնաժամկետ է սահմանվել 31.12.2019թ. (30.06.2018 փոխարեն)
Համաձայն 14.02.2020թ. նքված համաձայնագրի գումարը նվազել է 3,5 մլն դոլարով` կազմելով 35,5 մլն, իսկ մասհանման վերջնաժամկետ է սահմանվել 31.12.2020թ. (31.12.2020 փոխարեն)
30.04.2021թ. դրությամբ առկա 1,434,414.80 ԱՄՆ դոլար ենթավարկի մնացորդը չեղարկվել է (27.09.2021թ. կնքված փոփոխոիթյան)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15.05.2022թ.-ից</t>
        </r>
      </text>
    </comment>
    <comment ref="J17" authorId="0" shapeId="0">
      <text>
        <r>
          <rPr>
            <b/>
            <sz val="10"/>
            <color indexed="81"/>
            <rFont val="Tahoma"/>
            <family val="2"/>
          </rPr>
          <t>Lusine Grigoryan:
Հ</t>
        </r>
        <r>
          <rPr>
            <sz val="10"/>
            <color indexed="81"/>
            <rFont val="Tahoma"/>
            <family val="2"/>
          </rPr>
          <t>ամաձայն 13.07.20թ. կնքված համաձայնագրի գումարը նվազել է 2,5 մլն դոլարով` կազմելով 37,5 մլն
Համաձայն 14.02.2020թ. կնքված համաձայնագրի գումարը նվազել է 1,5 մլն դոլարով` կազմելով 36,0 մլն և մասհանման վերջնաժամկետ է սահմանվել 31.12.2020թ. 
Համաձայն 03.02.2021թ. կնքված համաձայնագրով մասհանման վերջնաժամկետ է սահմանվել 31.12.2023թ.(նախկին 31.12.2020թ փոխարեն)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15.02.2022թ.-ից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52 մլն դոլար</t>
        </r>
      </text>
    </comment>
    <comment ref="J1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29.06.2018թ. Համաձայնագրով 21.794.486  փոխարինվել է 28.194.486
14.02.2020թ. Համաձայնագրով 28.194.486 դոլար գումարը նվազել է 5 մլն և   փոխարինվել է 23.194.486
03.02.2021թ. Համաձայնագրով մասհանման ժամկետը երկարաձգվել է 31.12.2023 (31.12.2020 փոխարեն)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11.06.2018թ. Համաձայնագրով 30.205.514  փոխարինվել է 22.305.514
14.02.2020թ. Համաձայնագրով 22.305.514    փոխարինվել է 16.662.617
</t>
        </r>
      </text>
    </comment>
    <comment ref="J2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18.06.2020թ. Համաձայնագրով 15.192.292 SDR փոխարինվել է 13.988.153 SDR, իսկ մասհանման ժամկետը երկարաձգվել է մինչև 30.06.2022թ (30.06.2020 փոխարեն)</t>
        </r>
      </text>
    </comment>
    <comment ref="J27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25.05.2020թ. Համաձայնագրով 8.829.708 SDR փոխարինվել է 10.098.535 SDR, իսկ մասհանման ժամկետը երկարաձգվել է մինչև 30.06.2022թ (30.06.2020 փոխարեն)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գումար*0,29*1,3  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գումար*0,71*1,3  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նախկինում՝ «Որոտանի հիդրոէլեկտրակայանների համալիր »  ՓԲԸ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9.713.669 ճապ. Իեն գումարը չեղյալ է համարվել</t>
        </r>
      </text>
    </comment>
    <comment ref="C71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730-AM</t>
        </r>
      </text>
    </comment>
    <comment ref="C72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779-AM</t>
        </r>
      </text>
    </comment>
    <comment ref="Q7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Վճարումը կատարվում է հազվադեպ, սահմանված ժամանակացույցի խախտմամբ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վարչապետ Տիգրան Սարգսյանի մոտ 2011թ. ապրիլի 27-ին կայացած` խորհրդակցության N 23.8/75092-11 արձանագրություն</t>
        </r>
      </text>
    </comment>
    <comment ref="Q8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կատարվում, և պարբերաբար ՀՀ կառավարության համապատասխան որոշումներով մարման ժամկետը հետաձգվում է</t>
        </r>
      </text>
    </comment>
    <comment ref="Q8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կատարվում, և պարբերաբար ՀՀ կառավարության համապատասխան որոշումներով մարման ժամկետը հետաձգվում է</t>
        </r>
      </text>
    </comment>
    <comment ref="G8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19.07.2012թ. N 900-Ա որոշում</t>
        </r>
      </text>
    </comment>
    <comment ref="G8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 ՀՀ կառավարության 20.06.2011թ.  N  681 - Ա որոշում</t>
        </r>
      </text>
    </comment>
    <comment ref="Q8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Վճարում չի կատարվում</t>
        </r>
      </text>
    </comment>
    <comment ref="G8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02.08.2012թ. N 1018  -Ն որոշում</t>
        </r>
      </text>
    </comment>
    <comment ref="Q8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Վճարում չի կատարվում</t>
        </r>
      </text>
    </comment>
    <comment ref="G86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06.02.2014թ.  N  194 -Ն որոշում</t>
        </r>
      </text>
    </comment>
    <comment ref="Q86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Վճարում չի կատարվում</t>
        </r>
      </text>
    </comment>
    <comment ref="Q8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Վճարում չի կատարվում</t>
        </r>
      </text>
    </comment>
    <comment ref="G88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10.12.2015թ. N 1436-Ն որոշում</t>
        </r>
      </text>
    </comment>
    <comment ref="Q88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Առկա է պարտավորություն հաշվարկված  տոկոսագումարի տույժի գծով</t>
        </r>
      </text>
    </comment>
    <comment ref="Q96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Ըստ հիմնավորման՝ Բյուջետային վարկը տրամադրվում է 2024 թվականի հոկտեմբեր, նոյեմբեր ամիսների աշխատավարձի (ներառյալ հարկային պարտավորություններ և պարտադիր վճարներ) գծով առաջացած պարտավորություների մարման նպատակով:</t>
        </r>
      </text>
    </comment>
    <comment ref="F10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15.11.2024թ. Թիվ 1796-Ն որոշում</t>
        </r>
      </text>
    </comment>
    <comment ref="Q10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Շրջանառվում է ՀՀ կառավարության որոշման նախագիծ՝ տրամադրված վարկը փոխակերպելու ընկերության կանոնադրական կապիտալում ներդրման</t>
        </r>
      </text>
    </comment>
    <comment ref="Q10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ՖՆ կողմից հայց է ներկայացվել դատարան</t>
        </r>
      </text>
    </comment>
    <comment ref="H105" authorId="1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2174-Ն որոշման, 25.12.2020թ.-ին կնքվել է համաձայնագիր, որով փոփոխվել են տոկոսն ու մարման ժամկետը</t>
        </r>
      </text>
    </comment>
    <comment ref="H106" authorId="1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2176-Ա որոշման, 25.12.2020թ.-ին կնքվել է համաձայնագիր, որով փոփոխվել են տոկոսն ու մարման ժամկետը</t>
        </r>
      </text>
    </comment>
    <comment ref="C11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1-ին միջոցառում</t>
        </r>
      </text>
    </comment>
    <comment ref="H111" authorId="2" shapeId="0">
      <text>
        <r>
          <rPr>
            <b/>
            <sz val="9"/>
            <color indexed="81"/>
            <rFont val="Tahoma"/>
            <family val="2"/>
          </rPr>
          <t>Armen Manukyan:</t>
        </r>
        <r>
          <rPr>
            <sz val="9"/>
            <color indexed="81"/>
            <rFont val="Tahoma"/>
            <family val="2"/>
          </rPr>
          <t xml:space="preserve">
Համաձայն 02.06.20թ. Փոփոխություններ և լրացումներ կատարելու մասին համաձայնագրի՝ ԳՖԿ-ների կողմից վարկի մարման առավելագույն ժամկետը 31.05.22թ., որից հետո  հետո 3-րդ աշխատանքային օրում գումարը պետք է փոխանցվի 900005052015 հաշվեհամարին:</t>
        </r>
      </text>
    </comment>
    <comment ref="K11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Ամբողջովին տրամադրված</t>
        </r>
      </text>
    </comment>
    <comment ref="Q11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Մարումները կատարվում են անկանոն</t>
        </r>
      </text>
    </comment>
    <comment ref="Q11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Մարումները կատարվում են անկանոն</t>
        </r>
      </text>
    </comment>
    <comment ref="Q11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Մարումները կատարվում են անկանոն</t>
        </r>
      </text>
    </comment>
    <comment ref="Q11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Մարումները կատարվում են անկանոն</t>
        </r>
      </text>
    </comment>
    <comment ref="Q1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Մարումները կատարվում են անկանոն</t>
        </r>
      </text>
    </comment>
    <comment ref="C116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3-րդ միջոցառում</t>
        </r>
      </text>
    </comment>
    <comment ref="M116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140537000+5009140 ավելացվել է 2022թ. հոկտեմբերին
Փաստացի տրամադրված վարկերի հետ վերադարձը եղել է 
2020թ.ընթացքում 140537000 դրամ
2021թ.ընթացքում 5009140 դրամ
200000 եկելա 2-րդ միջոցառւոմից</t>
        </r>
      </text>
    </comment>
    <comment ref="Q116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Մարումները կատարվում են անկանոն</t>
        </r>
      </text>
    </comment>
    <comment ref="Q12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</t>
        </r>
      </text>
    </comment>
    <comment ref="Q12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</t>
        </r>
      </text>
    </comment>
    <comment ref="Q12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</t>
        </r>
      </text>
    </comment>
    <comment ref="Q12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</t>
        </r>
      </text>
    </comment>
    <comment ref="Q126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</t>
        </r>
      </text>
    </comment>
    <comment ref="Q12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</t>
        </r>
      </text>
    </comment>
    <comment ref="Q13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կատարվում է անկանոն</t>
        </r>
      </text>
    </comment>
    <comment ref="Q13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</t>
        </r>
      </text>
    </comment>
    <comment ref="Q136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</t>
        </r>
      </text>
    </comment>
    <comment ref="Q14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</t>
        </r>
      </text>
    </comment>
    <comment ref="Q14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</t>
        </r>
      </text>
    </comment>
  </commentList>
</comments>
</file>

<file path=xl/sharedStrings.xml><?xml version="1.0" encoding="utf-8"?>
<sst xmlns="http://schemas.openxmlformats.org/spreadsheetml/2006/main" count="2285" uniqueCount="511">
  <si>
    <t xml:space="preserve">
 ՀՀ ԿԲ գերմանահայկական հիմնադրամին վարկավորում</t>
  </si>
  <si>
    <t xml:space="preserve">
Կորոնավիրուսի (COVID-19) տնտեսական հետևանքների չեզոքացման  1-ին միջոցառման շրջանակներում ՀՀ ԿԲ գերմանահայկական հինադրամին վարկավորում</t>
  </si>
  <si>
    <t>ՀՀ դրամ</t>
  </si>
  <si>
    <t xml:space="preserve"> ՀՀ էկոնոմիկայի նախարարություն</t>
  </si>
  <si>
    <t xml:space="preserve">
Կորոնավիրուսի (COVID-19) տնտեսական հետևանքների չեզոքացման  3-րդ միջոցառման շրջանակներում ՀՀ ԿԲ գերմանահայկական հիմնադրամին վարկավորում</t>
  </si>
  <si>
    <t xml:space="preserve">
Կորոնավիրուսի (COVID-19) տնտեսական հետևանքների չեզոքացման  19-րդ միջոցառման շրջանակներում իրականացվող վարկավորում</t>
  </si>
  <si>
    <t>25.12.2028թ.</t>
  </si>
  <si>
    <t xml:space="preserve">
Կորոնավիրուսի (COVID-19) տնտեսական հետևանքների չեզոքացման  2-րդ միջոցառման շրջանակներում իրականացվող վարկավորում</t>
  </si>
  <si>
    <t>07.05.2024թ.</t>
  </si>
  <si>
    <t>30.04.2024թ.</t>
  </si>
  <si>
    <t>Տ Ե Ղ Ե Կ Ա Ն Ք</t>
  </si>
  <si>
    <t>Հ/Հ</t>
  </si>
  <si>
    <t>Վարկառու</t>
  </si>
  <si>
    <t xml:space="preserve">Արտաքին պարտքի և ՀՀ պետական բյուջեի միջոցների հաշվին իրականացվող ծրագիր </t>
  </si>
  <si>
    <t>Վարկի աղբյուրը</t>
  </si>
  <si>
    <t>Արժույթը</t>
  </si>
  <si>
    <t>Ենթավարկի, բյուջետային վարկի, պայմանագրով փոխանցված պարտավորության նախատեսված գումարը</t>
  </si>
  <si>
    <t>Ենթավարկի, բյուջետային վարկի, պայմանագրով փոխանցված պարտավորության փաստացի  գումարը</t>
  </si>
  <si>
    <t>Ենթավարկի, բյուջետային վարկի տոկոսադրույքը</t>
  </si>
  <si>
    <t>Մարված վարկի հիմնական գումար</t>
  </si>
  <si>
    <t>Մարված տոկոսագումար</t>
  </si>
  <si>
    <t>Վարկի հիմնական գումարի մնացորդ</t>
  </si>
  <si>
    <t>Գրավի առարկան</t>
  </si>
  <si>
    <t>«Բարձրավոլտ էլեկտրացանցեր» ՓԲԸ</t>
  </si>
  <si>
    <t xml:space="preserve"> ««Գյումրի-2» ենթակայանի վերականգնում» I փուլ</t>
  </si>
  <si>
    <t>Գերմանիայի վերականգնվող վարկերի բանկ (KfW)</t>
  </si>
  <si>
    <t>30.06.2019թ.  - 30.06.2049թ.</t>
  </si>
  <si>
    <t>Եվրո</t>
  </si>
  <si>
    <t>0.75% և 0.25% պարտավճար</t>
  </si>
  <si>
    <t>Հասարակ մուրհաիկներ, ակտիվներ</t>
  </si>
  <si>
    <t xml:space="preserve"> ««Գյումրի-2» ենթակայանի վերականգնում» II փուլ</t>
  </si>
  <si>
    <t>30.12.2012թ. -30.06.2024թ.</t>
  </si>
  <si>
    <t>վերաֆինանսավորման դրույք + 1.25% (յուրաքանչյուր մասհանման համար սահմանված)</t>
  </si>
  <si>
    <t>Հասարակ մուրհակներ և յուրաքանչյուր տարվա դեկտեմբեր ամսվա դրությամբ ձեռք բերված ակտիվներ</t>
  </si>
  <si>
    <t>«Հոսանքահաղորդիչ համակարգի վերականգնում (Կամո և Վանաձոր-2 ենթակայաններ)»</t>
  </si>
  <si>
    <t>30.06.2009թ. - 30.12.2038թ.</t>
  </si>
  <si>
    <t xml:space="preserve">«Կովկասյան էլեկտրահաղորդման ցանց I (Հայաստան-Վրաստան հաղորդիչ գիծ/ենթակայաններ)» </t>
  </si>
  <si>
    <t>30.12.2019թ. -30.12.2029թ.</t>
  </si>
  <si>
    <t>1.85% և 0.25% պարտավճար</t>
  </si>
  <si>
    <t>30.06.2025թ. -30.12.2054թ.</t>
  </si>
  <si>
    <t>«Կովկասյան էլեկտրահաղորդման ցանց I (Հայաստան-Վրաստան հաղորդիչ գիծ/ենթակայաններ) (Փուլ 1 + Փուլ 2a)»</t>
  </si>
  <si>
    <t>Մասհանման ամսաթվից  մինչև 28 տարի (արտոնյալ ժամկետ՝ 5 տարի)</t>
  </si>
  <si>
    <t>փոփոխական</t>
  </si>
  <si>
    <t>Հասարակ մուրհակներ և յուրաքանչյուր տարվա դեկտեմբեր ամսվա դրությամբ ձեռք բերված ակտիվներ:  17.05.2005թ. կնքված գրավի պայմանագրով գրավադրված գույքը:</t>
  </si>
  <si>
    <t>«Կովկասյան էլեկտրահաղորդման ցանց III (Ծրագրի փուլ 2)» (Հայաստան-Վրաստան հաղորդիչ գիծ/ենթակայաններ)»</t>
  </si>
  <si>
    <t>30.12.2020թ. -30.12.2030թ.</t>
  </si>
  <si>
    <t>«Էլեկտրաէներգիայի մատակարարման հուսալիություն»</t>
  </si>
  <si>
    <t>Վերակառուցման և Զարգացման Միջազգային Բանկի (ՎԶՄԲ)</t>
  </si>
  <si>
    <t>15.11.2021թ. -15.05.2036թ.</t>
  </si>
  <si>
    <t>ԱՄՆ դոլար</t>
  </si>
  <si>
    <t>Հասարակ մուրհակներ</t>
  </si>
  <si>
    <t>««Էլեկտրաէներգիայի մատակարարման հուսալիություն» ծրագրի լրացուցիչ ֆինանսավորում»</t>
  </si>
  <si>
    <t>15.08.2024թ. -15.08.2039թ.</t>
  </si>
  <si>
    <t xml:space="preserve">«Էլեկտրահաղորդման ցանցի բարելավում ծրագիր» </t>
  </si>
  <si>
    <t>15.11.2039թ.</t>
  </si>
  <si>
    <t>«Երևանի ջերմաէլեկտրակենտրոն» ՓԲԸ</t>
  </si>
  <si>
    <t>«Էլեկտրաէներգիայի հաղորդման ցանցի վերակառուցում»</t>
  </si>
  <si>
    <t>Ասիական Զարգացման Բանկ (ԱԶԲ)</t>
  </si>
  <si>
    <t>15.11.2019թ. -15.05.2039թ.</t>
  </si>
  <si>
    <t>ՀՓԻ</t>
  </si>
  <si>
    <t>«Էլեկտրաէներգետիկական համակարգի օպերատոր» ՓԲԸ</t>
  </si>
  <si>
    <t xml:space="preserve">«էլեկտրահաղորդման և բաշխիչ համակարգեր»   N 3175 AM </t>
  </si>
  <si>
    <t>Զարգացման Միջազգային Ընկերակցություն (ՄԶԸ)</t>
  </si>
  <si>
    <t>05.06.2009թ. - 05.12.2033թ.</t>
  </si>
  <si>
    <t>05.12.2008թ. -05.12.2023թ.</t>
  </si>
  <si>
    <t>յուրաքանչյուր տարվա հունվարի 1-ի փոփոխական տոկոսադրույք +0.5%</t>
  </si>
  <si>
    <t>«Էլեկտրահաղորդման և բաշխիչ համակարգեր»</t>
  </si>
  <si>
    <t>Ճապոնիայի Անդրծովյան տնտեսական համագործակցության հիմնադրամ (JICA)</t>
  </si>
  <si>
    <t>10.02.2019թ. -10.02.2039թ.</t>
  </si>
  <si>
    <t>Ճապոնական իեն</t>
  </si>
  <si>
    <t>«Հայաստանի էլեկտրական ցանցեր» ՓԲԸ</t>
  </si>
  <si>
    <t>«Հայաստանի վերականգնվող էներգետիկայի և էներգախնայողության հիմնադրամ»</t>
  </si>
  <si>
    <t>10.11.2015թ. - 10.11.2045թ.</t>
  </si>
  <si>
    <t>Առանց գրավի</t>
  </si>
  <si>
    <t>«Միջազգային էներգետիկ կորպորացիա» ՓԲԸ</t>
  </si>
  <si>
    <t>«Էներգետիկայի բնագավառում անհապաղ օգնություն (Քանաքեռի հիդրոէլեկտրակայան)»</t>
  </si>
  <si>
    <t>25.11.2010թ. - 25.11.2041թ.</t>
  </si>
  <si>
    <t xml:space="preserve"> «ՔոնթուրԳլոբալ  Հիդրո Կասկադ» ՓԲԸ </t>
  </si>
  <si>
    <t xml:space="preserve">Որոտանի հիդրոէլեկտրակայանների համակարգի վերականգնման  </t>
  </si>
  <si>
    <t>30.12.2030թ.</t>
  </si>
  <si>
    <t>3.24% և 0.25% պարտավճար</t>
  </si>
  <si>
    <t>հասարակ անտոկոս մուրհակ</t>
  </si>
  <si>
    <t>30.06.2050թ.</t>
  </si>
  <si>
    <t>30.12.2031թ.</t>
  </si>
  <si>
    <t>4.12% և 0.25% պարտավճար</t>
  </si>
  <si>
    <t>«Երևան Ջերմաէլեկտրակենտրոն» ՓԲԸ</t>
  </si>
  <si>
    <t xml:space="preserve">«Երևանի համակցված շոգեգազային ցիկլով էլեկտրակայանի (էներգաբլոկի) նախագծի իրականացում» </t>
  </si>
  <si>
    <t>20.03.2015թ. -20.03.2045թ.</t>
  </si>
  <si>
    <t>հասարակ անտոկոս մուրհակ և Ընկերությանը պատկանող հողամասը և դրա վրա կառուցված շինությունները</t>
  </si>
  <si>
    <t>«Օժանդակություն էներգահամակարգին»</t>
  </si>
  <si>
    <t>Համաշխարհային բանկ</t>
  </si>
  <si>
    <t>17.12.2008թ. -17.12.2022թ.</t>
  </si>
  <si>
    <t>«Հայկական ատոմային էլեկտրոկայան» ՓԲԸ</t>
  </si>
  <si>
    <t>Ֆրանսիա</t>
  </si>
  <si>
    <t>10.12.2008թ. -30.12.2035թ.</t>
  </si>
  <si>
    <t xml:space="preserve">ՀՀ կառավարության 11.06.2020թ.  N 953-Ն որոշում </t>
  </si>
  <si>
    <t>25.06.2022թ. -25.06.2032թ.</t>
  </si>
  <si>
    <t xml:space="preserve">Հայաստանի Հանրապետության տարածքում ատոմային էլեկտրակայանի շահագործման ժամկետի երկարաձգման աշխատանքների ֆինանսավորման </t>
  </si>
  <si>
    <t xml:space="preserve">կայունացման դեպոզիտ հաշիվ </t>
  </si>
  <si>
    <t>10.01.2020թ. -10.07.2029թ.</t>
  </si>
  <si>
    <t xml:space="preserve">«Էներգետիկայի ոլորտի ֆինանսական առողջացում» </t>
  </si>
  <si>
    <t>15.11.2030թ. -15.11.2040թ.</t>
  </si>
  <si>
    <t>Հասարակ մուրհակներ, ՀԱԷԿ-ի սեփականություն հանդիսացող ակտիվները</t>
  </si>
  <si>
    <t>Հասարակ մուրհակներ, 11.07.2005թ. կնքված ենթավարկային համաձայնագրով ստանձնած պարտավորությունների ապահովման համար գրավադրված գույքը</t>
  </si>
  <si>
    <t>«Երքաղլույս» ՓԲԸ</t>
  </si>
  <si>
    <t>Երևանի քաղաքային լուսավորության ծրագիր</t>
  </si>
  <si>
    <t>16.10.2018թ. -16.04.2025թ.</t>
  </si>
  <si>
    <t xml:space="preserve">Ծրագիրն իրականացնողի կանոնադրությամբ նախատեսված Երևան քաղաքիարտաքին լուսավորության ցանցի շահագործման, հիմնանորագման և պահպանման ծրագրի իրականացման համար տրամադրվող ֆինանսական միջոցները </t>
  </si>
  <si>
    <t>«Նաիրիտ գործարան» ՓԲԸ*</t>
  </si>
  <si>
    <t xml:space="preserve">Պահանջի իրավունքի զիջման Համաձայնագիր
</t>
  </si>
  <si>
    <t>01.07.2018թ.</t>
  </si>
  <si>
    <t>Ընդամենը ՀՀ Էներգետիկայի ոլորտում տրամադրված վարկեր</t>
  </si>
  <si>
    <t>«Կարեն Դեմերճյանի անվան Երևանի մետրոպոլիտեն» ՓԲԸ (ՎԶԵԲ I)</t>
  </si>
  <si>
    <t>«Երևանի մետրոպոլիտենի վերականգնում» I ծրագիր (ՎԶԵԲ)</t>
  </si>
  <si>
    <t>Վերակառուցման և Զարգացման Եվրոպական  Բանկ (ՎԶԵԲ)</t>
  </si>
  <si>
    <t>16.04.2013թ. - 16.10.2024թ.</t>
  </si>
  <si>
    <t>6-ամսյա Եվրոibor+1</t>
  </si>
  <si>
    <t>«Կարեն Դեմերճյանի անվան Երևանի մետրոպոլիտեն» ՓԲԸ (ՎԶԵԲ II)</t>
  </si>
  <si>
    <t>«Երևանի մետրոպոլիտենի վերականգնում» II ծրագիր (ՎԶԵԲ)</t>
  </si>
  <si>
    <t>16.10.2013թ. -16.04.2027թ.</t>
  </si>
  <si>
    <t>«Կարեն Դեմերճյանի անվան Երևանի մետրոպոլիտեն» ՓԲԸ (ԵՆԲ I)</t>
  </si>
  <si>
    <t>«Երևանի մետրոպոլիտենի վերականգնում» I ծրագիր (ԵՆԲ)</t>
  </si>
  <si>
    <t xml:space="preserve">Եվրոպական Ներդրումային Բանկի (ԵՆԲ) </t>
  </si>
  <si>
    <t>16.10.2015թ. - 16.04.2027թ.</t>
  </si>
  <si>
    <t>«Կարեն Դեմերճյանի անվան Երևանի մետրոպոլիտեն» ՓԲԸ  (ԵՆԲ II)</t>
  </si>
  <si>
    <t>«Երևանի մետրոպոլիտենի վերականգնում» II ծրագիր (ԵՆԲ)</t>
  </si>
  <si>
    <t>16.04.2019թ. -16.10.2033թ.</t>
  </si>
  <si>
    <t>Ընդամենը «Կարեն Դեմերճյանի անվան Երևանի մետրոպոլիտեն» ՓԲԸ տրամադրված վարկեր</t>
  </si>
  <si>
    <t>ՀՀ կենտրոնական բանկ</t>
  </si>
  <si>
    <t>Տնտեսության կայունացման վարկավորման ծրագիր</t>
  </si>
  <si>
    <t>15.12.2012թ. 15.06.2026թ.</t>
  </si>
  <si>
    <t>6-ամսյա Լibor+4%</t>
  </si>
  <si>
    <t>ՀՀ գյուղատնտեսության ոլորտի աջակցում</t>
  </si>
  <si>
    <t>30.06.2024</t>
  </si>
  <si>
    <t>«Ավանդների փոխհատուցումը երաշխավորող հիմնադրամ» ՓԲԸ</t>
  </si>
  <si>
    <t>«Հայաստանի Հանրապետության առևտրային բանկերում ֆիզիկական անձանց բանկային ավանդների հատուցումը երաշխավորող համակարգի ամրապնդում»</t>
  </si>
  <si>
    <t>25.12.2005թ. -25.06.2045թ.</t>
  </si>
  <si>
    <t>«Ակբա-Կրեդիտ Ագրիկոլ Բանկ» ՓԲԸ Հյուսիս Արևմտյան</t>
  </si>
  <si>
    <t>«Հյուսիս-Արևմտյան շրջանների գյուղատնտեսական ծառայությունների ծրագիր»</t>
  </si>
  <si>
    <t>ԳԶՄՀ</t>
  </si>
  <si>
    <t>01.06.2008թ. -01.12.2037թ.</t>
  </si>
  <si>
    <t>«Ակբա-Կրեդիտ Ագրիկոլ Բանկ» ՓԲԸ Գյուղատնտեսության ծառ.</t>
  </si>
  <si>
    <t>«Գյուղատնտեսական ծառայությունների ծրագիր»</t>
  </si>
  <si>
    <t>15.10.2011թ.-15.04.2041թ.</t>
  </si>
  <si>
    <t>Հայաստանում գյուղական տարածքների տնտեսական զարգացման հիմնադրամ (FREDA)</t>
  </si>
  <si>
    <t>08.01.2008թ. Հայաստանի Հանրապետության և Գյուղատնտեսության զարգացման միջազգային հիմնադրամի (ԳԶՄՀ) միջև կնքված «Շուկայավարման հնարավորություն ֆերմերներին» ծրագրի Ֆինանսավորման Համաձայնագիր</t>
  </si>
  <si>
    <t>25.01.2018-25.01.2047թ.թ.</t>
  </si>
  <si>
    <t>02.09.2015թ. Հայաստանի Հանրապետության և Գյուղատնտեսության զարգացման միջազգային հիմնադրամի (ԳԶՄՀ) միջև կնքված «Շուկայավարման հնարավորություն ֆերմերներին» ծրագրի Ֆինանսավորման Համաձայնագիր</t>
  </si>
  <si>
    <t>25.01.2025-25.01.2039թ.թ.</t>
  </si>
  <si>
    <t>Ընդամենը ՀՀ կենտրոնական բանկ, այլ բանկեր և վարկային կազմակերպություններին տրամադրված վարկեր</t>
  </si>
  <si>
    <t>«Վանաձորի բաղնիքային տնտեսություն»</t>
  </si>
  <si>
    <t>«Աղետի գոտու վերականգնում»</t>
  </si>
  <si>
    <t>01.11.2026թ.</t>
  </si>
  <si>
    <t>Վարկի հաշվին կառուցված գույքը</t>
  </si>
  <si>
    <t>«Երևանի քաղաքային նոր աղբավայր» ՓԲԸ</t>
  </si>
  <si>
    <t>Երևանի կոշտ թափոններ  (ՎԶԵԲ-ի ծրագիր)</t>
  </si>
  <si>
    <t>16.04.2018թ. -16.10.2029թ.</t>
  </si>
  <si>
    <t>Ծրագրի շրջանակներում ձեռք բերվող ակտիվները</t>
  </si>
  <si>
    <t>Երևանի կոշտ թափոններ  (ԵՆԲ-ի ծրագիր)</t>
  </si>
  <si>
    <t xml:space="preserve">«Կոտայքի և Գեղարքունիքի ԿԿԹԿ» ՍՊԸ </t>
  </si>
  <si>
    <t>«Հայաստանի վերականգնվող էներգետիկայի հիմնադրամ</t>
  </si>
  <si>
    <t>Գյուղական կարողությունների ստեղծման ծրագրի համաֆինանսավորում</t>
  </si>
  <si>
    <t>25.12.2012թ. -31.12.2022թ.</t>
  </si>
  <si>
    <t>«Ռադիոիզոտոպների արտադրության կենտրոն» ՓԲԸ</t>
  </si>
  <si>
    <t xml:space="preserve">Լիբոր+4 </t>
  </si>
  <si>
    <t>«Ավտոմատիկա» ՓԲԸ</t>
  </si>
  <si>
    <t>15.12.2020թ.</t>
  </si>
  <si>
    <t>ք. Երևան, Թևոսյան 3/1 հասցեում գտնվող անշարժ գույք</t>
  </si>
  <si>
    <t>Գյուղատնտեսության վարկավորման ծրագիր</t>
  </si>
  <si>
    <t>ԳՖԿ ԾԻԳ (Գյուղատնտեսական տարածքների տնտեսական զարգացում ԳՏՏԶ) IFAD</t>
  </si>
  <si>
    <t>01.06.2015թ. 01.06.2044թ.</t>
  </si>
  <si>
    <t>ԳՖԿ ԾԻԳ (Գյուղական ձեռնարկությունների և փոքրածավալ առևտրային գյուղատնտեսության զարգացման ծրագիր ԳՁՓԱԳԶԾ) IDA</t>
  </si>
  <si>
    <t>15.12.2015թ. 15.06.2045թ.</t>
  </si>
  <si>
    <t xml:space="preserve">Շուկայական հնարավորություններ ֆերմերներին ծրագիր (ՇՀՖ) </t>
  </si>
  <si>
    <t>04.02.2018թ. 04.08.2057թ.</t>
  </si>
  <si>
    <t>«Դարդան» ՍՊԸ</t>
  </si>
  <si>
    <t>Համաշխարհային բանկի հաշվին ապրանքային վարկ</t>
  </si>
  <si>
    <t>31.07.2021թ.</t>
  </si>
  <si>
    <t>1. ՀՀ  Արմավիրի մարզ,  գ.Նորակերտ, Նորակերտի խճուղի 10 (վարչական շենք և այլ շինություններ), քաղ. Երևան, Աճառյան փողոց  42բ (կաթսայատան վերնահարկ, պահեստ և այլ շինություններ), շինարարական և այլ տրանսպորտային միջոցներ</t>
  </si>
  <si>
    <t>«Համո Բեկնազարյանի անվան «Հայֆիլմ» կինոստուդիա» ՓԲԸ</t>
  </si>
  <si>
    <t xml:space="preserve">Պահանջի իրավունքի զիջման համաձայնագիր
</t>
  </si>
  <si>
    <t>24.12.2025թ.</t>
  </si>
  <si>
    <t>«Դի Էնդ Էյջ Գրուպ»  ՍՊԸ</t>
  </si>
  <si>
    <t>Տնտեսության վարկավորման ծրագիր</t>
  </si>
  <si>
    <t>10.12.2024թ.-10.12.2026թ.</t>
  </si>
  <si>
    <t>2% մինչև 31/12/2023, 01/01/2024-ից- 8%</t>
  </si>
  <si>
    <t xml:space="preserve"> ՀՀ ք. Երևան, Փ. Բյուզանդի 15 հասցեում գտնվող հյուրանոցային համալիրը</t>
  </si>
  <si>
    <t>28.06.2027թ.</t>
  </si>
  <si>
    <t>2% մինչև 31/12/2023, 01/01/2024-ից - 10.4%</t>
  </si>
  <si>
    <t>Կանոնադրական կապիտալում սեփ. իրավունքով պատկանող բաժնեմասերը, ՀՀ ք. Երևան, Փ. Բյուզանդի 15 հասցեում գտնվող հյուրանոցային համալիրը</t>
  </si>
  <si>
    <t>Ընդամենը տնտեսության վարկավորման համար տարբեր կազմակերպություններին և ընկերություններին տրամադրված վարկեր</t>
  </si>
  <si>
    <t>04.06.2022թ.</t>
  </si>
  <si>
    <t>31.03.2025թ.</t>
  </si>
  <si>
    <t xml:space="preserve">Ընդամենը Կորոնավիրուսի (COVID-19) տնտեսական հետևանքների չեզոքացման հետ կապված </t>
  </si>
  <si>
    <t xml:space="preserve">«ԱԱԲ Պրոեկտ» ՍՊԸ </t>
  </si>
  <si>
    <t xml:space="preserve">«Կորսան Կորվիամ Կոնստրուկսինո» ԲԸ-ի կողմից չվճարված դրամական պահանջներ ունեցող ՀՀ կազմակերպություններին տրամադրվող բյուջետային վարկեր
</t>
  </si>
  <si>
    <t>15.06.2022-15.06.2025թթ.</t>
  </si>
  <si>
    <t>ՀՀ, Կոտայքի մարզ, Արամուսի բազալտի հանքավայրի արդյունահանման Արմենիուս տեղամասը հասցեում գտնվող հողամասի նկատմամբ ընդերքօգտագործման իրավունքը</t>
  </si>
  <si>
    <t>«Շին Թրեյդ» ՍՊԸ</t>
  </si>
  <si>
    <t>10.06.2022-10.06.2025թթ.</t>
  </si>
  <si>
    <t>ք. Երևան, Դավթաշեն 10-րդ փողոց 2/7 բնակելի տուն հասցեում գտնվող 517,54  քմ և 0.096578 հա մակերեսով հողամասը</t>
  </si>
  <si>
    <t>«ՄԼ Մայնինգ» ՍՊԸ</t>
  </si>
  <si>
    <t xml:space="preserve">   Մայր գումար՝                   15.06.2022 -15.06.2025                              Տոկոսագումար՝                 15.09.2020 -15.06.2025 </t>
  </si>
  <si>
    <t>IVECO TRAKKER 450 մակնիշի բեռնատար ինքնաթափ (2 հատ), MAN TGA-41 մակնիշի բեռնատար ինքնաթափ  (3 հատ)</t>
  </si>
  <si>
    <t>«Ժակշին» ՍՊԸ</t>
  </si>
  <si>
    <t xml:space="preserve">   Մայր գումար՝                   25.06.2022 -25.06.2025                              Տոկոսագումար՝                 25.09.2020 -25.06.2025</t>
  </si>
  <si>
    <t>Շինտեխնիկա` KAMAZ.
SINOTRUK 2011- 2 հատ</t>
  </si>
  <si>
    <t>«Բիզնես Ալտերնատիվ» ՍՊԸ</t>
  </si>
  <si>
    <t xml:space="preserve">   Մայր գումար՝                   10.06.2022 -10.06.2025                              Տոկոսագումար՝                 10.09.2020 -10.06.2025  </t>
  </si>
  <si>
    <t>Շինտեխնիկա՝ YARI ROMORK T-MAX</t>
  </si>
  <si>
    <t>«Քեյ դի Էյջ» ՍՊԸ</t>
  </si>
  <si>
    <t>Ավտոմեքենա՝ MERCEDES-BENZ E35O</t>
  </si>
  <si>
    <t>«Ռաֆայել» ՍՊԸ</t>
  </si>
  <si>
    <t xml:space="preserve">   Մայր գումար՝                   10.07.2022 -10.07.2025                              Տոկոսագումար՝                 10.10.2020 -10.07.2025</t>
  </si>
  <si>
    <t>Վիբրացիոն գլդոն և հողամաս</t>
  </si>
  <si>
    <t>«Միրադա» ՍՊԸ</t>
  </si>
  <si>
    <t xml:space="preserve">   Մայր գումար՝                   25.06.2022 -25.06.2025                              Տոկոսագումար՝                 25.09.2020 -25.06.2025    </t>
  </si>
  <si>
    <t xml:space="preserve">ք. Երևան,  Քրիստափորի փողոց 1/3 տարածք հասարակական նշանակության շինություն </t>
  </si>
  <si>
    <t>Մայր գումար՝                   15.07.2022 -15.07.2025                              Տոկոսագումար՝                 15.10.2020 -15.07.2025</t>
  </si>
  <si>
    <t>«Ավետիք Սարգսյան» ԱՁ</t>
  </si>
  <si>
    <t>Կռազ-ցիստեռն</t>
  </si>
  <si>
    <t>«Նաիրիի ՃՇՇ» ԲԲԸ</t>
  </si>
  <si>
    <t xml:space="preserve">  Մայր գումար՝                   25.06.2022 -25.06.2025                              Տոկոսագումար՝                 25.09.2020 -25.06.2025 </t>
  </si>
  <si>
    <t>Շինտեխնիկա՝ZIL MMZ-45021 2 հատ
ԳՐԵՅԴԵՐ 2 հատ</t>
  </si>
  <si>
    <t>«Կամուրջշին» ՓԲԸ</t>
  </si>
  <si>
    <t xml:space="preserve"> Մայր գումար՝                   15.07.2022 -15.07.2025                              Տոկոսագումար՝                 15.10.2020 -15.07.2025</t>
  </si>
  <si>
    <t>Սարքավորումներ և շինտեխնիկա, մեքենաներ</t>
  </si>
  <si>
    <t>«Կամա» ՍՊԸ</t>
  </si>
  <si>
    <t xml:space="preserve">   Մայր գումար՝                   10.07.2022 -10.07.2025                              Տոկոսագումար՝                 10.10.2020 -10.07.2025 </t>
  </si>
  <si>
    <t>2 հատ SHACMAN տեսակի շինտեխնիկա</t>
  </si>
  <si>
    <t>«Ինքնաթափ» ՍՊԸ</t>
  </si>
  <si>
    <t xml:space="preserve">   Մայր գումար՝                   30.07.2022 -30.07.2025                              Տոկոսագումար՝                 30.10.2020 -30.07.2026</t>
  </si>
  <si>
    <t>CAT մակնիշի ինքնաթափ, hողամաս, TOYOTA</t>
  </si>
  <si>
    <t>«Արարատ Թորոսյան» ԱՁ</t>
  </si>
  <si>
    <t>2 հողամաս</t>
  </si>
  <si>
    <t>«Էս ընդ Եյ Մայնինգ» ՍՊԸ</t>
  </si>
  <si>
    <t xml:space="preserve">   Մայր գումար՝                   25.08.2022 -25.08.2025                              Տոկոսագումար՝                 25.11.2020 -25.09.2025</t>
  </si>
  <si>
    <t xml:space="preserve"> Շին.տեխնիկա` 11 հատ</t>
  </si>
  <si>
    <t>«Ապառաժ» ՍՊԸ</t>
  </si>
  <si>
    <t>Շինտեխնիկա և ավտոմեքենա՝ 2 հատ</t>
  </si>
  <si>
    <t>«Տնա-Շին Աշոտ» ՍՊԸ</t>
  </si>
  <si>
    <t xml:space="preserve"> Մայր գումար՝                   25.09.2022 -25.09.2025                              Տոկոսագումար՝                 25.12.2020 -25.09.2025</t>
  </si>
  <si>
    <t>5 հատ SCANIA &lt;Քաջ Տրանս&gt; ՍՊԸ-ի</t>
  </si>
  <si>
    <t>«Դենտալ Իմպորտ» ՍՊԸ</t>
  </si>
  <si>
    <t>Մայր գումար՝                   20.11.2022 -20.11.2025                              Տոկոսագումար՝                 20.02.2021 -20.11.2025</t>
  </si>
  <si>
    <t>թվով 21 շինարարական տեխնիկա</t>
  </si>
  <si>
    <t>«Սուարդի» ԲԸ Հ/Մ</t>
  </si>
  <si>
    <t>Մայր գումար՝                   05.11.2022 -05.11.2025                              Տոկոսագումար՝                 05.02.2021 -05.11.2025</t>
  </si>
  <si>
    <t>&lt;&lt;Աննա Ավետիսյան&gt;&gt;ԱՁ</t>
  </si>
  <si>
    <t>2 հատ վերամբարձ մեքենա և ասֆալտ փռող մեքենա</t>
  </si>
  <si>
    <t>«Քաջ-Տրանս» ՍՊԸ</t>
  </si>
  <si>
    <t xml:space="preserve">Մայր գումար՝                   15.12.2022 -15.12.2025                              Տոկոսագումար՝                 15.03.2021 -15.12.2025 </t>
  </si>
  <si>
    <t>1 հատ SCANIA</t>
  </si>
  <si>
    <t>Ընդամենը տրամադրված վարկերի և ենթավարկերի կառուցվածքը ըստ իրենց արժույթների</t>
  </si>
  <si>
    <t>Արցախի Հանրապետության կառավարություն</t>
  </si>
  <si>
    <t>Միջպետական վարկ</t>
  </si>
  <si>
    <t>2025թ.</t>
  </si>
  <si>
    <t>Կոտայքի և Գեղարքունիքի մարզերի կոշտ թափոնների կառավարման ծրագիր</t>
  </si>
  <si>
    <t>25.06.2023թ. -25.06.2033թ.</t>
  </si>
  <si>
    <t>16.10.2021թ. -16.10.2033թ.</t>
  </si>
  <si>
    <t>15.11.2012թ. Անշարժ Գույքի Գրավի Պայամանգրի համաձայն` («Պետական գույքի գույքագրման և գնահատման գործակալություն» ՊՈԱԿ-ի կողմից 07.06.2012թ. կազմված գնահատման հաշվետվության համաձայն գրավի առարկայի շուկայական արժեքը 2012թ. գնահատման ժամանակահատվածի դրությամբ կազմել է 280,511,000 ՀՀ դրամ, կադաստրային արժեքը` համաձայն ՀՀ կառավարությանն առընթեր անշարժ գույքի կադաստրի պետական կոմիտեի 14.11.2012թ. N ԱՏ-12/11/2012-1-0280 տեղեկանքի կազմում է հա 14,646,180 ՀՀ դրամ) Աջափնյակ Հալաբյան փողոց թիվ 38/7 հասցեում գտնվող հողատարածքը (1.34999 հա -0.9225=0.42749 հա), ապագայում կառուցվելիք անշարժ գույքը  և «ԱյԲիԷյ մոլեկուլյար» կազմակերպությունից ձեռք բերվելիք «Ցիկլոն 18/18» ցիկլոտրոնը,ինչպես նաև ապագայում ձեռք բերվելիք սարքավորումները` դրանց արժեքը կանոնադրական կապիտալ ներդրումից հետո: Հայաստանի Հանրապետության առողջապահության նախարարին` Հայաստանի Հանրապետության օրենսդրությամբ սահմանված կարգով ապահովել ընկերության կանոնադրական կապիտալի ավելացումը՝ սարքավորումների ձեռքբերման և մոնտաժման աշխա¬¬տանքների արժեքի չափով, լրացուցիչ բաժնետոմսեր տեղաբաշխելու միջոցով</t>
  </si>
  <si>
    <t xml:space="preserve">Տեղեկանք </t>
  </si>
  <si>
    <t>Պրինցիպալը</t>
  </si>
  <si>
    <t>Բենեֆիցարը</t>
  </si>
  <si>
    <t>Երաշխիքի մարման ամսաթիվը</t>
  </si>
  <si>
    <t>Երաշխիքի գումարը /դրամ/</t>
  </si>
  <si>
    <t>«ԱՐՄՍՎԻՍԲԱՆԿ» ՓԲԸ</t>
  </si>
  <si>
    <t>Ընդամենը</t>
  </si>
  <si>
    <t>Գերմանիա (KfW)</t>
  </si>
  <si>
    <t xml:space="preserve">ՀՀ կառավարության 25.03.2021թ.  N 415-Ն որոշում </t>
  </si>
  <si>
    <t>1.404%                   1.056%</t>
  </si>
  <si>
    <t>16.04.2023թ.  16.10.2030թ.</t>
  </si>
  <si>
    <t>«ՀԱՅԱՍՏԱՆԻ ԶԱՐԳԱՑՄԱՆ և ՆԵՐԴՐՈՒՄՆԵՐԻ» ԿՈՐՊՈՐԱՑԻԱ ՈՒՎԿ ՓԲԸ</t>
  </si>
  <si>
    <t>Երաշխիքի գծով պարտավորության մնացորդ /դրամ/</t>
  </si>
  <si>
    <t>&lt;&lt; Երևանի  ավտոբուս&gt;&gt; ՓԲԸ</t>
  </si>
  <si>
    <t>Երևանի քաղաքային ավտոբուսներ ծրագիր</t>
  </si>
  <si>
    <t>16.04.2025թ.-16.10.2036թ.</t>
  </si>
  <si>
    <t>SOFR</t>
  </si>
  <si>
    <t>Գրավի առարկան հանդիսանալու է ձեռք վբերված հիմանկան միջոցները</t>
  </si>
  <si>
    <t>Ենթավարկի, բյուջետային վարկի, պայմանագրով հանձնված պարտավորության մարման ժամկետը</t>
  </si>
  <si>
    <t>01.07.2023-20.05.2033թ.թ.</t>
  </si>
  <si>
    <t>10.06.2023-08.11.2031թ.թ.</t>
  </si>
  <si>
    <t>10.06.2023-19.03.2033թ.թ.</t>
  </si>
  <si>
    <t>10.06.2023-03.09.2029թ.թ.</t>
  </si>
  <si>
    <t>Գյուղատնտեսության Զարգացման Միջազգային Հիմնադրամ</t>
  </si>
  <si>
    <t>Ենթակառուցվածքների և գյուղական ֆինանսավորման աջակցություն</t>
  </si>
  <si>
    <t>30.06.2025թ. 31.12.2044թ.</t>
  </si>
  <si>
    <t>Ենթավարկային պայմանագրի կնքման ամսաթիվը և համարը</t>
  </si>
  <si>
    <t>07.10.2009թ.</t>
  </si>
  <si>
    <t>25.06.1999թ.</t>
  </si>
  <si>
    <t>13.03.2015թ.</t>
  </si>
  <si>
    <t>12.03.2016թ.</t>
  </si>
  <si>
    <t>27.05.2016թ.</t>
  </si>
  <si>
    <t>18.11.2011թ.</t>
  </si>
  <si>
    <t>02.02.2015թ.</t>
  </si>
  <si>
    <t>11.08.2015թ.</t>
  </si>
  <si>
    <t>14.08.2015թ.</t>
  </si>
  <si>
    <t>06.02.2015թ.</t>
  </si>
  <si>
    <t>30.11.1999թ.</t>
  </si>
  <si>
    <t>12.05.2005թ.</t>
  </si>
  <si>
    <t>04.05.2007թ.</t>
  </si>
  <si>
    <t>12.07.2004թ.</t>
  </si>
  <si>
    <t>30.07.2012թ.</t>
  </si>
  <si>
    <t>21.06.2010թ.</t>
  </si>
  <si>
    <t>20.12.16թ. Ենթավարկային պայմանագիր</t>
  </si>
  <si>
    <t>11.07.2005թ.</t>
  </si>
  <si>
    <t xml:space="preserve">16.02.2004թ.  N4(48)/CP-2004 </t>
  </si>
  <si>
    <t xml:space="preserve"> 24.02.2004թ. N 1(01)CP-2004 վարկային պայմանագիր</t>
  </si>
  <si>
    <t>22.06.2015թ.  N 6/2015</t>
  </si>
  <si>
    <t>22.06.2016թ.</t>
  </si>
  <si>
    <t>14.06.2016թ.</t>
  </si>
  <si>
    <t>13.07.2010թ.</t>
  </si>
  <si>
    <t>30.05.2013թ.</t>
  </si>
  <si>
    <t>03.05.2011թ.</t>
  </si>
  <si>
    <t>09.02.2015թ.</t>
  </si>
  <si>
    <t xml:space="preserve">08.07.2009թ. Ֆինանսական գործակալության պայմանգիր և 21.02.11թ. Համաձայնագիր </t>
  </si>
  <si>
    <t>12.12.2012թ. Ֆինանսական գործակալության պայմանգիր KFW- AGRO</t>
  </si>
  <si>
    <t>28.07.2005թ. Ենթավարկային պայմանագիր</t>
  </si>
  <si>
    <t>13.01.1998թ. Սուբսիդավորմամբ ֆինանսավորման պայմանագիր</t>
  </si>
  <si>
    <t>11.01.2002թ.ՀԳՓԲ սուբսիդավորման համաձայնագիր</t>
  </si>
  <si>
    <t>28.07.2009թ.</t>
  </si>
  <si>
    <t>02.09.2015թ.</t>
  </si>
  <si>
    <t>05.05.2006         թիվ 1/2006</t>
  </si>
  <si>
    <t>22.12.2017թ.</t>
  </si>
  <si>
    <t>29.12.2017թ.</t>
  </si>
  <si>
    <t>15.02.2018թ.</t>
  </si>
  <si>
    <t xml:space="preserve">15.11.2012թ. </t>
  </si>
  <si>
    <t xml:space="preserve">03.02.2016թ. կնքված </t>
  </si>
  <si>
    <t>09.07.2011թ.  N 1/2011</t>
  </si>
  <si>
    <t>08.11.2012թ.  N 6/2012</t>
  </si>
  <si>
    <t>19.03.2014թ.  N 3/2014</t>
  </si>
  <si>
    <t>03.09.2015թ.   N 3/2015</t>
  </si>
  <si>
    <t>28.12.2015թ. N 11/2015</t>
  </si>
  <si>
    <t>ՀՀ և Զարգացման միջազգային ընկերակցության միջև 28.01.2005թ. կնքված N 653-AM փոխառության համաձայնագիր</t>
  </si>
  <si>
    <t>ՀՀ և Զարգացման միջազգային ընկերակցության միջև 20.07.2005թ. կնքված N 4095-AM փոխառության համաձայնագիր</t>
  </si>
  <si>
    <t>Հայաստանի Հանրապետության (ԳՖԿ ԾԻԳ ՊՀ) կողմից օգտագործված փոխառությունների համաձայնագիր</t>
  </si>
  <si>
    <t xml:space="preserve"> ԳԶՄՀ միջև  12.11.2014թ-ին կնքված &lt;&lt;Ենթակառուցվածքների և գյուղական ֆինանսավորման աջակցություն&gt;&gt;  համաձայնագիր</t>
  </si>
  <si>
    <t>ՀՀ և Վերակառուցման և Զարգացման Եվրոպական Բանկի միջև 24.11.2021թ. կնքված Համաձայնագիր, 04.07.2022թ. Կնքված իրականացման համաձայնագիր</t>
  </si>
  <si>
    <t xml:space="preserve">29.12.2015թ. </t>
  </si>
  <si>
    <t>06.10.11թ. Պարտքի մարման համաձայնագիր</t>
  </si>
  <si>
    <t>29.09.2015թ N6/2015</t>
  </si>
  <si>
    <t>Պահանջի իրավունքի զիջման պայմանագիր 27.12.2016թ.</t>
  </si>
  <si>
    <t>31.03.2020թ
16/310320-1 ֆինանսական գործակալության պայմանագիր, 02.06.2020թ. Փոփոխություններ և լրացումներ կատարելու մասին համաձայնագիր</t>
  </si>
  <si>
    <t xml:space="preserve">25.12.2020թ. Փոխառության պայմանագիր Н420-20 ( ՀՀ կառավարության 27.05.202թ.   854-Լ որոշում, ՀՀ կառավարության 02․07․2020թ․ 1094-Ն որոշում, ՀՀ կառավարության 27.07.2020թ. 1233-Ն որոշում)            </t>
  </si>
  <si>
    <t xml:space="preserve">ՀՀ կառավարության 09.04.2020թ. թիվ 727-Ն որոշում                 </t>
  </si>
  <si>
    <t xml:space="preserve">ՀՀ կառավարության 09.04.2020թ. թիվ 727-Ն որոշում                        </t>
  </si>
  <si>
    <t xml:space="preserve">ՀՀ կառավարության 09.04.2020թ. թիվ 727-Ն որոշում                         </t>
  </si>
  <si>
    <t>ՀՀ կառավարության 09.04.2020թ. թիվ 727-Ն որոշում</t>
  </si>
  <si>
    <t>1993-2020թթ</t>
  </si>
  <si>
    <t>«ԻՆԵԿՈԲԱՆԿ» ՓԲԸ</t>
  </si>
  <si>
    <t>«ԻՋԵՎԱՆԻ ԳԻՆՈՒ, ԿՈՆՅԱԿԻ ԳՈՐԾԱՐԱՆ» ՓԲԸ</t>
  </si>
  <si>
    <t>Sofr+ փոփոխական մարժա</t>
  </si>
  <si>
    <t>Sofr + փոփոխական մարժա և 0.25% պարտավճար</t>
  </si>
  <si>
    <t>30.12.2023թ.</t>
  </si>
  <si>
    <t>«ՊՌՈՇՅԱՆԻ ԿՈՆՅԱԿԻ ԳՈՐԾԱՐԱՆ» ՍՊԸ</t>
  </si>
  <si>
    <t>«ԵՐԱՍԽԻ ԳԻՆՈՒ ԳՈՐԾԱՐԱՆ» ՍՊԸ</t>
  </si>
  <si>
    <t>«ՄԱՊ» ՓԲԸ</t>
  </si>
  <si>
    <t>«ԱՐԱՐԱՏԻ ԳԻՆՈՒ ԳՈՐԾԱՐԱՆ» ՍՊԸ</t>
  </si>
  <si>
    <t>«ԷՎՈԿԱԲԱՆԿ» ՓԲԸ</t>
  </si>
  <si>
    <t>«ԱՐԴՇԻՆԲԱՆԿ» ԲԲԸ</t>
  </si>
  <si>
    <t>28.02.2026թ.</t>
  </si>
  <si>
    <t>02.03.2026թ.</t>
  </si>
  <si>
    <t>ՀՀ կառավարության գործող երաշխիքները</t>
  </si>
  <si>
    <t>The existing guarantees of the Government of RA</t>
  </si>
  <si>
    <t>Действующие гарантии Правительства РА</t>
  </si>
  <si>
    <t>ՆԵՐՔԻՆ ԵՐԱՇԽԻՔՆԵՐ</t>
  </si>
  <si>
    <t>DOMESTIC GUARANTEES</t>
  </si>
  <si>
    <t>ВНУТРЕННИЕ ГАРАНТИИ</t>
  </si>
  <si>
    <t>այդ թվում՝</t>
  </si>
  <si>
    <t xml:space="preserve">  of which</t>
  </si>
  <si>
    <t xml:space="preserve">       в том числе</t>
  </si>
  <si>
    <t>«ԱՐՏԱՇԱՏ-ՎԻՆԿՈՆ» ՓԲԸ</t>
  </si>
  <si>
    <t>"ARTASHAT-VINCON" CJSC</t>
  </si>
  <si>
    <t>"ArmSwissBank" CJSC</t>
  </si>
  <si>
    <t>«АРТАШАТ-ВИНКОН» ЗАО</t>
  </si>
  <si>
    <t>«Армсвиссбанк» ЗАО</t>
  </si>
  <si>
    <t>"YERASKH WINE FACTORY" LLC</t>
  </si>
  <si>
    <t>«ԳԵՏԱՓԻ ԳԻՆՈՒ ԿՈՆՅԱԿԻ ԳՈՐԾԱՐԱՆ» ՍՊԸ</t>
  </si>
  <si>
    <t>"GETAP WINE AND BRANDY FACTORY" LLC</t>
  </si>
  <si>
    <t>"VEDI ALCO" CJSC</t>
  </si>
  <si>
    <t>«ВЕДИ АЛКО» ЗАО</t>
  </si>
  <si>
    <t>"Development And Investments Corporation of Armenia" CJSC</t>
  </si>
  <si>
    <t>«Корпорация развития и инвестиций Армении» ЗАО</t>
  </si>
  <si>
    <t>"PROSHYAN BRANDY FACTORY" LLC</t>
  </si>
  <si>
    <t>"IJEYAN WINE AND BRANDY FACTORY" CJSC</t>
  </si>
  <si>
    <t>"Inecobank" CJSC</t>
  </si>
  <si>
    <t>«ИДЖЕВАНСКИЙ ВИННОКОНЬЯЧНЫЙ ЗАВОД» ЗАО</t>
  </si>
  <si>
    <t>«Инекобанк» ЗАО</t>
  </si>
  <si>
    <t>"ARARAT WINE FACTORY CO.LTD</t>
  </si>
  <si>
    <t>"MAP" COMPANY</t>
  </si>
  <si>
    <t>"Evocabank" CJSC</t>
  </si>
  <si>
    <t>«МАП»  ЗАО</t>
  </si>
  <si>
    <t>«Эвокабанк» ЗАО</t>
  </si>
  <si>
    <t>"Ardshinbank" CJSC</t>
  </si>
  <si>
    <t>«Ардшинбанк» ЗАО</t>
  </si>
  <si>
    <t>ՀՀ կառավարության կողմից երաշխիքների սպասարկման գծով կատարված վճարումներ՝ պայմանավորված պրինցիպալի կողմից իր վճարային պարտավորությունների չկատարմամբ</t>
  </si>
  <si>
    <t>Payments made by the Government of the Republic of Armenia on guarantees' servicing, due to default on payment obligations by the principal</t>
  </si>
  <si>
    <t>Платежи, осуществленные Правительством Республики Армения по обслуживанию предоставленных гарантий, обусловленные невыполнением своих платежных обязательств принципалом</t>
  </si>
  <si>
    <t>20.03.2026թ.</t>
  </si>
  <si>
    <t>23.03.2026թ.</t>
  </si>
  <si>
    <t>«ՎԵԴԻ-ԱԼԿՈ» ՓԲԸ</t>
  </si>
  <si>
    <t>26.03.2026թ.</t>
  </si>
  <si>
    <t xml:space="preserve">Երաշխիքի գումարը /դրամ/ Guarantee amount /AMD/             Сумма гарантии /драм РА/ </t>
  </si>
  <si>
    <t>Երաշխիքի գծով պարտավորության մնացորդ /ՀՀ դրամ/                                Balance of guarantee obligation /AMD/  Остаток гарантийных обязательств /драм РА/</t>
  </si>
  <si>
    <t>«Կորսան Կորվիամ Կոնստրուկսինո» ԲԸ-ի  հետ կապված և այլ վարկեր</t>
  </si>
  <si>
    <t>11 հատ տրանսպորտային միջոց և 19 հատ շին.տեխնիկա</t>
  </si>
  <si>
    <t>Անշարժ և շարժական գույք, բաժնետոմսեր</t>
  </si>
  <si>
    <t>«Սահակյանշին» ՓԲԸ</t>
  </si>
  <si>
    <t>Բյուջետային վարկ</t>
  </si>
  <si>
    <t>25.09.2023թ.</t>
  </si>
  <si>
    <t>2026թ.</t>
  </si>
  <si>
    <t>Գրավով՝ քաղ. Երևան, Մալաթիա-Սեբաստիա, Ծիծեռնակաբերդի խճուղի 39/1 հասցեում գտնվող հողամասը</t>
  </si>
  <si>
    <t>16.08.2027թ.</t>
  </si>
  <si>
    <t xml:space="preserve">09.11.2023թ. N 2/2023 </t>
  </si>
  <si>
    <t>Վարկի հաշվին ձեռք բերված հայկական կոնյակի սպիրտ</t>
  </si>
  <si>
    <t>04.09.2027թ.</t>
  </si>
  <si>
    <t>08.09.2027թ.</t>
  </si>
  <si>
    <t>25.09.2027թ.</t>
  </si>
  <si>
    <t>ՀՀ պետական բյուջե</t>
  </si>
  <si>
    <t>1.8% և 0.25% պարտավճար</t>
  </si>
  <si>
    <t>ՌԴ կառավարություն</t>
  </si>
  <si>
    <t xml:space="preserve">Կայունացման դեպոզիտ հաշիվ </t>
  </si>
  <si>
    <t>«Համահայկական ֆոնդ» փակ ոչ հրապարակային պայմանագրային ներդրումային ֆոնդ</t>
  </si>
  <si>
    <t>2028թ.</t>
  </si>
  <si>
    <t xml:space="preserve">«ՋԻ ԹԻ ԲԻ ՓՐՈՓՐԹԻՍ» ՍՊԸ-ին պատկանող Արարատի մարզի Երասխ բնակավայրում գտնվող գույքը և «ՅՈՒՆԻՈՆ-ՍԵՐՎԻՍ» ՍՊԸ-ին պատկանող՝ քաղ. Երևան, Արաբկիր, Կոմիտասի պողոտա 53, 53/9 և 53/10 հասցեներում գտնվող անշարժ գույքերը </t>
  </si>
  <si>
    <t>«Հայ-Ալմաստ» ՓԲԸ</t>
  </si>
  <si>
    <t>Կայունացման դեպոզիտ հաշիվ (եվրոբոնդ)</t>
  </si>
  <si>
    <t xml:space="preserve">   ՀՀ կառավարության 26․03․2020թ․ 356-Լ որոշում, ՀՀ կառավարության 31․03․2020թ․ 416-Լ որոշում           Գործակալական պայմանագիր 12.05.2020թ. 16/120520-1</t>
  </si>
  <si>
    <t xml:space="preserve">      ՀՀ կառավարության 26․03․2020թ․ 356-Լ որոշում, ՀՀ կառավարության 31․03․2020թ․ 416-Լ որոշում,          Գործակալական պայմանագիր 22.04.2020թ. 16/220420-1      </t>
  </si>
  <si>
    <t xml:space="preserve">      ՀՀ կառավարության 26․03․2020թ․ 356-Լ որոշում, ՀՀ կառավարության 25․03․2020թ․ 417-Լ որոշում,          Գործակալական պայմանագիր 05.04.2021թ. 16.1/050421-1      </t>
  </si>
  <si>
    <t>07.04.2010թ. N 01 կնքված պահանջի իրավունքի զիջման մասին պայմանագիր, 27.12.2017թ. կնքված պայմանագրի փոփոխություն` Համաձայնագիր N 1, 17.04.2019թ. կնքված պայմանագրի փոփոխություն` Համաձայնագիր N 2, 09.04.2021թ. Կնքված, հաշտության համաձայնագիր, 31.05.2023թ. կնքված Հաշտության համաձայնագիր</t>
  </si>
  <si>
    <t>Վարկի տեսակը</t>
  </si>
  <si>
    <t>Վարկի կարգավիճակ</t>
  </si>
  <si>
    <t>Ենթավարկ</t>
  </si>
  <si>
    <t>իրատեսական</t>
  </si>
  <si>
    <t>Համաֆինանսավորում</t>
  </si>
  <si>
    <t>ԱՄՆտթորանք</t>
  </si>
  <si>
    <t>անիրատեսական</t>
  </si>
  <si>
    <t xml:space="preserve">Տնտեսության կայունացման վարկավորման ծրագիր </t>
  </si>
  <si>
    <t>Վարկային պայմանագրի կնքման ամսաթիվը և համարը</t>
  </si>
  <si>
    <t>30.01.2009թ.               BMZ ID 2007.66.253</t>
  </si>
  <si>
    <t xml:space="preserve">Հիմնական միջոցներ </t>
  </si>
  <si>
    <t>21.12.1998թ.</t>
  </si>
  <si>
    <t>08.04.2015թ.</t>
  </si>
  <si>
    <t>10.07.2020թ. N 8/2020 վարկային պայմանագիր</t>
  </si>
  <si>
    <t>17.06.2021թ. N9/2021</t>
  </si>
  <si>
    <t>19.12.2003</t>
  </si>
  <si>
    <t>09.12.2014թ.</t>
  </si>
  <si>
    <t>16.03.2015թ.</t>
  </si>
  <si>
    <t>11.12.2015թ.</t>
  </si>
  <si>
    <t>01.06.2011թ.</t>
  </si>
  <si>
    <t>06.08.2014թ.</t>
  </si>
  <si>
    <t>05.09.2014թ.</t>
  </si>
  <si>
    <t>30.03.1999թ.             N 3175 AM</t>
  </si>
  <si>
    <t>18.02.1999թ.             ARM-P1</t>
  </si>
  <si>
    <t xml:space="preserve">20.07.2005թ.             </t>
  </si>
  <si>
    <t xml:space="preserve">25.07.1997թ.   11.04.2001թ.   </t>
  </si>
  <si>
    <t>09.12.2005թ.   16.05.2008թ.   16.03.2010թ.</t>
  </si>
  <si>
    <t>29.03.2005թ.              ARM-P2</t>
  </si>
  <si>
    <t>«Երևան ՋԷԿ» ՓԲԸ-ի հետ 16.02.2004թ. կնքված N 4(48)/CP-2004 պարտքի փոխանցման պայմանագիր</t>
  </si>
  <si>
    <t>29.12.1995թ.</t>
  </si>
  <si>
    <t>05.02.2015թ.</t>
  </si>
  <si>
    <t>12.05.2016թ.</t>
  </si>
  <si>
    <t>10.03.2010թ.</t>
  </si>
  <si>
    <t>03.08.2012թ.</t>
  </si>
  <si>
    <t>10.08.2010թ.</t>
  </si>
  <si>
    <t>02.05.2013թ.    10.05.2013թ.</t>
  </si>
  <si>
    <t xml:space="preserve">«Քաղաքային ջեռուցման ծրագիր»           ՀՀ կառավարության 16.02.2012թ. N174-Ն որոշում </t>
  </si>
  <si>
    <t>«Հեր-Հեր» հիդրոէլեկտրակայան» ՓԲԸ</t>
  </si>
  <si>
    <t>18.12.2019թ.</t>
  </si>
  <si>
    <t>05.08.2025թ.</t>
  </si>
  <si>
    <t>21.01.2027թ․</t>
  </si>
  <si>
    <t>30.01.2027թ․</t>
  </si>
  <si>
    <t>02.12.2024թ. N2/2024</t>
  </si>
  <si>
    <t>25.12.2026թ. -25.12.2036թ.</t>
  </si>
  <si>
    <t>«Կարեն Դեմիրճյանի անվան մարզահամերգային համալիր» ՓԲԸ</t>
  </si>
  <si>
    <t>Վարկային պայմանագիր</t>
  </si>
  <si>
    <t>05.03.2027թ․</t>
  </si>
  <si>
    <t>«ԱՄԻՕ» ՓԲԸ</t>
  </si>
  <si>
    <t>04.03.2027թ․</t>
  </si>
  <si>
    <t>«ПРОШЯНСКИЙ КОНЬЯЧНЫЙ ЗАВОД» ЗАО</t>
  </si>
  <si>
    <t>«ЕРАСХСКИЙ ВИННЫЙ ЗАВОД» ЗАО</t>
  </si>
  <si>
    <t>«ГЕТАПСКИЙ ВИННОКОНЬЯЧНЫЙ ЗАВОД» ЗАО</t>
  </si>
  <si>
    <t>«Араратский  винный  завод» ПАО</t>
  </si>
  <si>
    <t>ԲԱԳՐԱՏ ԳՐՈՒՊ</t>
  </si>
  <si>
    <t>«ԱՐԴՇԻՆԲԱՆԿ» ՓԲԸ</t>
  </si>
  <si>
    <t>" Ardshinbsnk" CJSC</t>
  </si>
  <si>
    <t>"БАГРАТ ГРУПП"" ООО</t>
  </si>
  <si>
    <t xml:space="preserve"> "Bagrat Group" LLC</t>
  </si>
  <si>
    <t>«ПРОШЯНСКИЙ КОНЬЯЧНЫЙ ЗАВОД»  ООО</t>
  </si>
  <si>
    <t> "AMIO BANK" CJSC</t>
  </si>
  <si>
    <t>«АМИО БАНК » ЗАО</t>
  </si>
  <si>
    <t>«ԲԱԳՐԱՏ ԳՐՈՒՊ» ՍՊԸ</t>
  </si>
  <si>
    <t>15.12.2026թ. -15.06.2029թ.</t>
  </si>
  <si>
    <t xml:space="preserve">ՀՀ կառավարության 21.11.2024թ.  N 1840-Ն որոշում </t>
  </si>
  <si>
    <t>02.12.2024թ. N /24 վարկային պայմանագիր</t>
  </si>
  <si>
    <t>«Արտաշատի ԲԿ» ՓԲԸ*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</si>
  <si>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31.01.2025թ. դրությամբ </t>
  </si>
  <si>
    <t xml:space="preserve">«Հայաստանի էներգետիկ անցումն ապահովող ծրագիր» </t>
  </si>
  <si>
    <t>08.08.2024թ.</t>
  </si>
  <si>
    <t>03.02.2025թ.</t>
  </si>
  <si>
    <t xml:space="preserve">25.12.2024թ. Թիվ 5/2024  </t>
  </si>
  <si>
    <t>Մարված</t>
  </si>
  <si>
    <t>2027թ.</t>
  </si>
  <si>
    <t>Ճանաչվել է սնանկ</t>
  </si>
  <si>
    <t>10.12.2024թ.</t>
  </si>
  <si>
    <t>16.12.2026թ.</t>
  </si>
  <si>
    <t>ՀՀ կառավարության 15.07.2021թ. թիվ 1168-լ որոշմման հիման վրա գյուղատնտեսական հումքի մթերումների համար վարկերի  ներգրավման նպատակով  տրված բյուջետային երաշխիքների վերաբերյալ՝ 28.02.25թ. դրությամբ</t>
  </si>
  <si>
    <t>28.02.2025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</si>
  <si>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28.02.2025թ. դրությամբ </t>
  </si>
  <si>
    <t>02.02.2024թ․    N 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</si>
</sst>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-* #,##0.00_р_._-;\-* #,##0.00_р_._-;_-* &quot;-&quot;??_р_._-;_-@_-"/>
    <numFmt numFmtId="165" formatCode="_(* #,##0_);_(* \(#,##0\);_(* &quot;-&quot;??_);_(@_)"/>
    <numFmt numFmtId="166" formatCode="0.0%"/>
    <numFmt numFmtId="167" formatCode="0.000%"/>
    <numFmt numFmtId="168" formatCode="_(* #,##0.0_);_(* \(#,##0.0\);_(* &quot;-&quot;??_);_(@_)"/>
    <numFmt numFmtId="169" formatCode="0.000"/>
    <numFmt numFmtId="170" formatCode="_(* #,##0.000_);_(* \(#,##0.000\);_(* &quot;-&quot;??_);_(@_)"/>
    <numFmt numFmtId="171" formatCode="_(* #,##0.0_);_(* \(#,##0.0\);_(* &quot;-&quot;?_);_(@_)"/>
    <numFmt numFmtId="172" formatCode="0.0000%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HEA Grapalat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GHEA Grapalat"/>
      <family val="3"/>
    </font>
    <font>
      <sz val="10"/>
      <name val="Arial Armenian"/>
      <family val="2"/>
    </font>
    <font>
      <sz val="12"/>
      <name val="GHEA Grapalat"/>
      <family val="3"/>
    </font>
    <font>
      <b/>
      <sz val="16"/>
      <name val="GHEA Grapalat"/>
      <family val="3"/>
    </font>
    <font>
      <sz val="16"/>
      <name val="GHEA Grapalat"/>
      <family val="3"/>
    </font>
    <font>
      <b/>
      <sz val="14"/>
      <name val="GHEA Grapalat"/>
      <family val="3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GHEA Grapalat"/>
      <family val="3"/>
    </font>
    <font>
      <b/>
      <i/>
      <sz val="12"/>
      <name val="GHEA Grapalat"/>
      <family val="3"/>
    </font>
    <font>
      <b/>
      <sz val="13"/>
      <name val="GHEA Grapalat"/>
      <family val="3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4" fillId="0" borderId="0"/>
    <xf numFmtId="0" fontId="15" fillId="0" borderId="0"/>
  </cellStyleXfs>
  <cellXfs count="283">
    <xf numFmtId="0" fontId="0" fillId="0" borderId="0" xfId="0"/>
    <xf numFmtId="43" fontId="8" fillId="2" borderId="0" xfId="2" applyFont="1" applyFill="1" applyAlignment="1" applyProtection="1"/>
    <xf numFmtId="0" fontId="8" fillId="2" borderId="0" xfId="1" applyFont="1" applyFill="1" applyAlignment="1" applyProtection="1"/>
    <xf numFmtId="43" fontId="9" fillId="2" borderId="0" xfId="2" applyFont="1" applyFill="1" applyProtection="1"/>
    <xf numFmtId="0" fontId="9" fillId="2" borderId="0" xfId="1" applyFont="1" applyFill="1" applyProtection="1"/>
    <xf numFmtId="43" fontId="2" fillId="2" borderId="0" xfId="2" applyFont="1" applyFill="1" applyProtection="1"/>
    <xf numFmtId="0" fontId="2" fillId="2" borderId="0" xfId="1" applyFont="1" applyFill="1" applyProtection="1"/>
    <xf numFmtId="0" fontId="2" fillId="2" borderId="0" xfId="1" applyFont="1" applyFill="1" applyAlignment="1" applyProtection="1">
      <alignment horizontal="centerContinuous"/>
    </xf>
    <xf numFmtId="43" fontId="2" fillId="2" borderId="0" xfId="2" applyFont="1" applyFill="1" applyBorder="1" applyProtection="1"/>
    <xf numFmtId="0" fontId="2" fillId="2" borderId="0" xfId="1" applyFont="1" applyFill="1" applyBorder="1" applyProtection="1"/>
    <xf numFmtId="165" fontId="8" fillId="2" borderId="13" xfId="4" applyNumberFormat="1" applyFont="1" applyFill="1" applyBorder="1" applyAlignment="1" applyProtection="1">
      <alignment vertical="center"/>
    </xf>
    <xf numFmtId="165" fontId="8" fillId="2" borderId="2" xfId="4" applyNumberFormat="1" applyFont="1" applyFill="1" applyBorder="1" applyAlignment="1" applyProtection="1">
      <alignment vertical="center"/>
    </xf>
    <xf numFmtId="165" fontId="8" fillId="2" borderId="10" xfId="4" applyNumberFormat="1" applyFont="1" applyFill="1" applyBorder="1" applyAlignment="1" applyProtection="1">
      <alignment vertical="center"/>
    </xf>
    <xf numFmtId="165" fontId="8" fillId="2" borderId="16" xfId="4" applyNumberFormat="1" applyFont="1" applyFill="1" applyBorder="1" applyAlignment="1" applyProtection="1">
      <alignment vertical="center"/>
    </xf>
    <xf numFmtId="165" fontId="8" fillId="2" borderId="3" xfId="4" applyNumberFormat="1" applyFont="1" applyFill="1" applyBorder="1" applyAlignment="1" applyProtection="1">
      <alignment vertical="center"/>
    </xf>
    <xf numFmtId="43" fontId="9" fillId="2" borderId="0" xfId="9" applyFont="1" applyFill="1" applyProtection="1"/>
    <xf numFmtId="43" fontId="2" fillId="2" borderId="0" xfId="1" applyNumberFormat="1" applyFont="1" applyFill="1" applyProtection="1"/>
    <xf numFmtId="165" fontId="2" fillId="2" borderId="0" xfId="4" applyNumberFormat="1" applyFont="1" applyFill="1" applyProtection="1"/>
    <xf numFmtId="0" fontId="2" fillId="2" borderId="0" xfId="1" applyFont="1" applyFill="1" applyAlignment="1" applyProtection="1">
      <alignment horizontal="center"/>
    </xf>
    <xf numFmtId="170" fontId="2" fillId="2" borderId="0" xfId="1" applyNumberFormat="1" applyFont="1" applyFill="1" applyProtection="1"/>
    <xf numFmtId="1" fontId="2" fillId="2" borderId="0" xfId="1" applyNumberFormat="1" applyFont="1" applyFill="1" applyAlignment="1" applyProtection="1">
      <alignment horizontal="center"/>
    </xf>
    <xf numFmtId="0" fontId="8" fillId="2" borderId="18" xfId="1" applyFont="1" applyFill="1" applyBorder="1" applyAlignment="1" applyProtection="1">
      <alignment horizontal="center" vertical="center" wrapText="1"/>
    </xf>
    <xf numFmtId="0" fontId="8" fillId="2" borderId="19" xfId="1" applyFont="1" applyFill="1" applyBorder="1" applyAlignment="1" applyProtection="1">
      <alignment horizontal="center" vertical="center" wrapText="1"/>
    </xf>
    <xf numFmtId="10" fontId="8" fillId="2" borderId="19" xfId="6" applyNumberFormat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vertical="center" wrapText="1"/>
    </xf>
    <xf numFmtId="10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vertical="center" wrapText="1"/>
    </xf>
    <xf numFmtId="165" fontId="2" fillId="2" borderId="2" xfId="4" applyNumberFormat="1" applyFont="1" applyFill="1" applyBorder="1" applyAlignment="1" applyProtection="1">
      <alignment vertical="center"/>
    </xf>
    <xf numFmtId="165" fontId="2" fillId="2" borderId="2" xfId="4" applyNumberFormat="1" applyFont="1" applyFill="1" applyBorder="1" applyAlignment="1" applyProtection="1">
      <alignment vertical="center" wrapText="1"/>
    </xf>
    <xf numFmtId="165" fontId="2" fillId="2" borderId="3" xfId="4" applyNumberFormat="1" applyFont="1" applyFill="1" applyBorder="1" applyAlignment="1" applyProtection="1">
      <alignment vertical="center" wrapText="1"/>
    </xf>
    <xf numFmtId="43" fontId="2" fillId="2" borderId="2" xfId="4" applyFont="1" applyFill="1" applyBorder="1" applyAlignment="1" applyProtection="1">
      <alignment horizontal="center" vertical="center" wrapText="1"/>
    </xf>
    <xf numFmtId="165" fontId="2" fillId="2" borderId="2" xfId="3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Protection="1"/>
    <xf numFmtId="165" fontId="2" fillId="2" borderId="2" xfId="7" applyNumberFormat="1" applyFont="1" applyFill="1" applyBorder="1" applyAlignment="1" applyProtection="1">
      <alignment horizontal="center" vertical="center" wrapText="1"/>
    </xf>
    <xf numFmtId="0" fontId="2" fillId="2" borderId="2" xfId="4" applyNumberFormat="1" applyFont="1" applyFill="1" applyBorder="1" applyAlignment="1" applyProtection="1">
      <alignment horizontal="center" vertical="center" wrapText="1"/>
    </xf>
    <xf numFmtId="167" fontId="2" fillId="2" borderId="1" xfId="6" applyNumberFormat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/>
    </xf>
    <xf numFmtId="0" fontId="2" fillId="2" borderId="14" xfId="1" applyFont="1" applyFill="1" applyBorder="1" applyAlignment="1" applyProtection="1">
      <alignment horizontal="center" vertical="center"/>
    </xf>
    <xf numFmtId="165" fontId="2" fillId="2" borderId="14" xfId="4" applyNumberFormat="1" applyFont="1" applyFill="1" applyBorder="1" applyAlignment="1" applyProtection="1">
      <alignment horizontal="center" vertical="center" wrapText="1"/>
    </xf>
    <xf numFmtId="165" fontId="2" fillId="2" borderId="14" xfId="4" applyNumberFormat="1" applyFont="1" applyFill="1" applyBorder="1" applyAlignment="1" applyProtection="1">
      <alignment vertical="center" wrapText="1"/>
    </xf>
    <xf numFmtId="2" fontId="8" fillId="2" borderId="16" xfId="1" applyNumberFormat="1" applyFont="1" applyFill="1" applyBorder="1" applyAlignment="1" applyProtection="1">
      <alignment vertical="center"/>
    </xf>
    <xf numFmtId="2" fontId="8" fillId="2" borderId="2" xfId="1" applyNumberFormat="1" applyFont="1" applyFill="1" applyBorder="1" applyAlignment="1" applyProtection="1">
      <alignment vertical="center"/>
    </xf>
    <xf numFmtId="2" fontId="8" fillId="2" borderId="1" xfId="1" applyNumberFormat="1" applyFont="1" applyFill="1" applyBorder="1" applyAlignment="1" applyProtection="1">
      <alignment vertical="center"/>
    </xf>
    <xf numFmtId="165" fontId="8" fillId="2" borderId="14" xfId="4" applyNumberFormat="1" applyFont="1" applyFill="1" applyBorder="1" applyAlignment="1" applyProtection="1">
      <alignment vertical="center"/>
    </xf>
    <xf numFmtId="2" fontId="8" fillId="2" borderId="10" xfId="1" applyNumberFormat="1" applyFont="1" applyFill="1" applyBorder="1" applyAlignment="1" applyProtection="1">
      <alignment vertical="center"/>
    </xf>
    <xf numFmtId="0" fontId="2" fillId="2" borderId="2" xfId="1" quotePrefix="1" applyNumberFormat="1" applyFont="1" applyFill="1" applyBorder="1" applyAlignment="1" applyProtection="1">
      <alignment horizontal="center" vertical="center" wrapText="1"/>
    </xf>
    <xf numFmtId="165" fontId="2" fillId="2" borderId="2" xfId="2" applyNumberFormat="1" applyFont="1" applyFill="1" applyBorder="1" applyAlignment="1" applyProtection="1">
      <alignment horizontal="left" vertical="center" wrapText="1"/>
    </xf>
    <xf numFmtId="9" fontId="2" fillId="2" borderId="2" xfId="8" applyFont="1" applyFill="1" applyBorder="1" applyAlignment="1" applyProtection="1">
      <alignment horizontal="center" vertical="center" wrapText="1"/>
    </xf>
    <xf numFmtId="166" fontId="2" fillId="2" borderId="2" xfId="8" applyNumberFormat="1" applyFont="1" applyFill="1" applyBorder="1" applyAlignment="1" applyProtection="1">
      <alignment horizontal="center" vertical="center" wrapText="1"/>
    </xf>
    <xf numFmtId="165" fontId="2" fillId="2" borderId="1" xfId="3" applyNumberFormat="1" applyFont="1" applyFill="1" applyBorder="1" applyAlignment="1" applyProtection="1">
      <alignment horizontal="center" vertical="center" wrapText="1"/>
    </xf>
    <xf numFmtId="10" fontId="2" fillId="2" borderId="1" xfId="8" applyNumberFormat="1" applyFont="1" applyFill="1" applyBorder="1" applyAlignment="1" applyProtection="1">
      <alignment horizontal="center" vertical="center" wrapText="1"/>
    </xf>
    <xf numFmtId="166" fontId="2" fillId="2" borderId="1" xfId="8" applyNumberFormat="1" applyFont="1" applyFill="1" applyBorder="1" applyAlignment="1" applyProtection="1">
      <alignment horizontal="center" vertical="center" wrapText="1"/>
    </xf>
    <xf numFmtId="168" fontId="2" fillId="2" borderId="2" xfId="4" applyNumberFormat="1" applyFont="1" applyFill="1" applyBorder="1" applyAlignment="1" applyProtection="1">
      <alignment horizontal="center" vertical="center" wrapText="1"/>
    </xf>
    <xf numFmtId="165" fontId="2" fillId="2" borderId="1" xfId="2" applyNumberFormat="1" applyFont="1" applyFill="1" applyBorder="1" applyAlignment="1" applyProtection="1">
      <alignment horizontal="left" vertical="center" wrapText="1"/>
    </xf>
    <xf numFmtId="166" fontId="2" fillId="2" borderId="14" xfId="6" applyNumberFormat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2" fontId="2" fillId="2" borderId="10" xfId="1" applyNumberFormat="1" applyFont="1" applyFill="1" applyBorder="1" applyAlignment="1" applyProtection="1">
      <alignment horizontal="center" vertical="center" wrapText="1"/>
    </xf>
    <xf numFmtId="165" fontId="2" fillId="2" borderId="10" xfId="4" applyNumberFormat="1" applyFont="1" applyFill="1" applyBorder="1" applyAlignment="1" applyProtection="1">
      <alignment horizontal="center" vertical="center" wrapText="1"/>
    </xf>
    <xf numFmtId="165" fontId="2" fillId="2" borderId="10" xfId="3" applyNumberFormat="1" applyFont="1" applyFill="1" applyBorder="1" applyAlignment="1" applyProtection="1">
      <alignment horizontal="center" vertical="center" wrapText="1"/>
    </xf>
    <xf numFmtId="166" fontId="2" fillId="2" borderId="10" xfId="6" applyNumberFormat="1" applyFont="1" applyFill="1" applyBorder="1" applyAlignment="1" applyProtection="1">
      <alignment horizontal="center" vertical="center" wrapText="1"/>
    </xf>
    <xf numFmtId="165" fontId="2" fillId="2" borderId="10" xfId="1" applyNumberFormat="1" applyFont="1" applyFill="1" applyBorder="1" applyAlignment="1" applyProtection="1">
      <alignment horizontal="center" vertical="center" wrapText="1"/>
    </xf>
    <xf numFmtId="165" fontId="2" fillId="2" borderId="14" xfId="2" applyNumberFormat="1" applyFont="1" applyFill="1" applyBorder="1" applyAlignment="1" applyProtection="1">
      <alignment horizontal="left" vertical="center" wrapText="1"/>
    </xf>
    <xf numFmtId="2" fontId="8" fillId="2" borderId="3" xfId="1" applyNumberFormat="1" applyFont="1" applyFill="1" applyBorder="1" applyAlignment="1" applyProtection="1">
      <alignment vertical="center"/>
    </xf>
    <xf numFmtId="0" fontId="2" fillId="2" borderId="5" xfId="1" applyFont="1" applyFill="1" applyBorder="1" applyAlignment="1" applyProtection="1">
      <alignment horizontal="center" vertical="center" wrapText="1"/>
    </xf>
    <xf numFmtId="1" fontId="2" fillId="2" borderId="18" xfId="1" applyNumberFormat="1" applyFont="1" applyFill="1" applyBorder="1" applyAlignment="1" applyProtection="1">
      <alignment horizontal="center" vertical="center" wrapText="1"/>
    </xf>
    <xf numFmtId="0" fontId="2" fillId="2" borderId="19" xfId="1" applyFont="1" applyFill="1" applyBorder="1" applyAlignment="1" applyProtection="1">
      <alignment horizontal="center" vertical="center" wrapText="1"/>
    </xf>
    <xf numFmtId="165" fontId="2" fillId="2" borderId="19" xfId="4" applyNumberFormat="1" applyFont="1" applyFill="1" applyBorder="1" applyAlignment="1" applyProtection="1">
      <alignment horizontal="center" vertical="center" wrapText="1"/>
    </xf>
    <xf numFmtId="165" fontId="2" fillId="2" borderId="19" xfId="3" applyNumberFormat="1" applyFont="1" applyFill="1" applyBorder="1" applyAlignment="1" applyProtection="1">
      <alignment horizontal="center" vertical="center" wrapText="1"/>
    </xf>
    <xf numFmtId="165" fontId="2" fillId="2" borderId="6" xfId="2" applyNumberFormat="1" applyFont="1" applyFill="1" applyBorder="1" applyAlignment="1" applyProtection="1">
      <alignment horizontal="left" vertical="center" wrapText="1"/>
    </xf>
    <xf numFmtId="1" fontId="10" fillId="2" borderId="0" xfId="1" applyNumberFormat="1" applyFont="1" applyFill="1" applyAlignment="1" applyProtection="1">
      <alignment horizontal="center"/>
    </xf>
    <xf numFmtId="0" fontId="10" fillId="2" borderId="0" xfId="1" applyFont="1" applyFill="1" applyProtection="1"/>
    <xf numFmtId="0" fontId="2" fillId="2" borderId="0" xfId="1" applyNumberFormat="1" applyFont="1" applyFill="1" applyProtection="1"/>
    <xf numFmtId="2" fontId="8" fillId="2" borderId="0" xfId="1" applyNumberFormat="1" applyFont="1" applyFill="1" applyBorder="1" applyAlignment="1" applyProtection="1">
      <alignment vertical="center"/>
    </xf>
    <xf numFmtId="10" fontId="2" fillId="2" borderId="0" xfId="6" applyNumberFormat="1" applyFont="1" applyFill="1" applyProtection="1"/>
    <xf numFmtId="165" fontId="2" fillId="2" borderId="0" xfId="1" applyNumberFormat="1" applyFont="1" applyFill="1" applyProtection="1"/>
    <xf numFmtId="165" fontId="2" fillId="2" borderId="0" xfId="6" applyNumberFormat="1" applyFont="1" applyFill="1" applyProtection="1"/>
    <xf numFmtId="43" fontId="2" fillId="2" borderId="0" xfId="4" applyNumberFormat="1" applyFont="1" applyFill="1" applyProtection="1"/>
    <xf numFmtId="165" fontId="2" fillId="2" borderId="0" xfId="9" applyNumberFormat="1" applyFont="1" applyFill="1" applyAlignment="1" applyProtection="1"/>
    <xf numFmtId="169" fontId="10" fillId="2" borderId="0" xfId="1" applyNumberFormat="1" applyFont="1" applyFill="1" applyProtection="1"/>
    <xf numFmtId="165" fontId="2" fillId="2" borderId="0" xfId="9" applyNumberFormat="1" applyFont="1" applyFill="1" applyProtection="1"/>
    <xf numFmtId="43" fontId="8" fillId="2" borderId="0" xfId="1" applyNumberFormat="1" applyFont="1" applyFill="1" applyAlignment="1" applyProtection="1"/>
    <xf numFmtId="0" fontId="2" fillId="2" borderId="3" xfId="1" quotePrefix="1" applyNumberFormat="1" applyFont="1" applyFill="1" applyBorder="1" applyAlignment="1" applyProtection="1">
      <alignment horizontal="center" vertical="center" wrapText="1"/>
    </xf>
    <xf numFmtId="10" fontId="2" fillId="2" borderId="19" xfId="8" applyNumberFormat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center" vertical="center" wrapText="1"/>
    </xf>
    <xf numFmtId="1" fontId="2" fillId="2" borderId="15" xfId="1" applyNumberFormat="1" applyFont="1" applyFill="1" applyBorder="1" applyAlignment="1" applyProtection="1">
      <alignment horizontal="center" vertical="center" wrapText="1"/>
    </xf>
    <xf numFmtId="1" fontId="2" fillId="2" borderId="34" xfId="1" applyNumberFormat="1" applyFont="1" applyFill="1" applyBorder="1" applyAlignment="1" applyProtection="1">
      <alignment horizontal="center" vertical="center" wrapText="1"/>
    </xf>
    <xf numFmtId="165" fontId="8" fillId="2" borderId="33" xfId="4" applyNumberFormat="1" applyFont="1" applyFill="1" applyBorder="1" applyAlignment="1" applyProtection="1">
      <alignment vertical="center"/>
    </xf>
    <xf numFmtId="165" fontId="8" fillId="2" borderId="15" xfId="4" applyNumberFormat="1" applyFont="1" applyFill="1" applyBorder="1" applyAlignment="1" applyProtection="1">
      <alignment vertical="center"/>
    </xf>
    <xf numFmtId="165" fontId="8" fillId="2" borderId="34" xfId="4" applyNumberFormat="1" applyFont="1" applyFill="1" applyBorder="1" applyAlignment="1" applyProtection="1">
      <alignment vertical="center"/>
    </xf>
    <xf numFmtId="165" fontId="8" fillId="2" borderId="31" xfId="4" applyNumberFormat="1" applyFont="1" applyFill="1" applyBorder="1" applyAlignment="1" applyProtection="1">
      <alignment vertical="center"/>
    </xf>
    <xf numFmtId="1" fontId="2" fillId="2" borderId="35" xfId="1" applyNumberFormat="1" applyFont="1" applyFill="1" applyBorder="1" applyAlignment="1" applyProtection="1">
      <alignment horizontal="center" vertical="center" wrapText="1"/>
    </xf>
    <xf numFmtId="165" fontId="8" fillId="2" borderId="23" xfId="4" applyNumberFormat="1" applyFont="1" applyFill="1" applyBorder="1" applyAlignment="1" applyProtection="1">
      <alignment vertical="center"/>
    </xf>
    <xf numFmtId="0" fontId="2" fillId="2" borderId="38" xfId="1" applyFont="1" applyFill="1" applyBorder="1" applyAlignment="1" applyProtection="1">
      <alignment horizontal="center" vertical="center" wrapText="1"/>
    </xf>
    <xf numFmtId="165" fontId="2" fillId="2" borderId="3" xfId="3" applyNumberFormat="1" applyFont="1" applyFill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</xf>
    <xf numFmtId="1" fontId="2" fillId="2" borderId="31" xfId="1" applyNumberFormat="1" applyFont="1" applyFill="1" applyBorder="1" applyAlignment="1" applyProtection="1">
      <alignment horizontal="center" vertical="center" wrapText="1"/>
    </xf>
    <xf numFmtId="0" fontId="2" fillId="2" borderId="26" xfId="1" applyFont="1" applyFill="1" applyBorder="1" applyAlignment="1" applyProtection="1">
      <alignment horizontal="center" vertical="center" wrapText="1"/>
    </xf>
    <xf numFmtId="1" fontId="2" fillId="2" borderId="10" xfId="1" applyNumberFormat="1" applyFont="1" applyFill="1" applyBorder="1" applyAlignment="1" applyProtection="1">
      <alignment horizontal="center" vertical="center" wrapText="1"/>
    </xf>
    <xf numFmtId="10" fontId="2" fillId="2" borderId="10" xfId="6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Alignment="1" applyProtection="1">
      <alignment horizontal="center"/>
    </xf>
    <xf numFmtId="10" fontId="2" fillId="2" borderId="0" xfId="6" applyNumberFormat="1" applyFont="1" applyFill="1" applyAlignment="1" applyProtection="1">
      <alignment horizontal="center"/>
    </xf>
    <xf numFmtId="0" fontId="8" fillId="2" borderId="40" xfId="1" applyFont="1" applyFill="1" applyBorder="1" applyAlignment="1" applyProtection="1">
      <alignment horizontal="center" vertical="center" wrapText="1"/>
    </xf>
    <xf numFmtId="2" fontId="8" fillId="2" borderId="25" xfId="1" applyNumberFormat="1" applyFont="1" applyFill="1" applyBorder="1" applyAlignment="1" applyProtection="1">
      <alignment vertical="center"/>
    </xf>
    <xf numFmtId="2" fontId="8" fillId="2" borderId="12" xfId="1" applyNumberFormat="1" applyFont="1" applyFill="1" applyBorder="1" applyAlignment="1" applyProtection="1">
      <alignment vertical="center"/>
    </xf>
    <xf numFmtId="2" fontId="8" fillId="2" borderId="31" xfId="1" applyNumberFormat="1" applyFont="1" applyFill="1" applyBorder="1" applyAlignment="1" applyProtection="1">
      <alignment vertical="center"/>
    </xf>
    <xf numFmtId="0" fontId="2" fillId="2" borderId="16" xfId="1" applyFont="1" applyFill="1" applyBorder="1" applyProtection="1"/>
    <xf numFmtId="0" fontId="2" fillId="2" borderId="10" xfId="1" applyFont="1" applyFill="1" applyBorder="1" applyProtection="1"/>
    <xf numFmtId="165" fontId="2" fillId="2" borderId="10" xfId="2" applyNumberFormat="1" applyFont="1" applyFill="1" applyBorder="1" applyAlignment="1" applyProtection="1">
      <alignment horizontal="left" vertical="center" wrapText="1"/>
    </xf>
    <xf numFmtId="9" fontId="2" fillId="2" borderId="10" xfId="8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Protection="1"/>
    <xf numFmtId="0" fontId="2" fillId="2" borderId="10" xfId="1" quotePrefix="1" applyNumberFormat="1" applyFont="1" applyFill="1" applyBorder="1" applyAlignment="1" applyProtection="1">
      <alignment horizontal="center" vertical="center" wrapText="1"/>
    </xf>
    <xf numFmtId="2" fontId="2" fillId="2" borderId="23" xfId="1" applyNumberFormat="1" applyFont="1" applyFill="1" applyBorder="1" applyAlignment="1" applyProtection="1">
      <alignment horizontal="center" vertical="center" wrapText="1"/>
    </xf>
    <xf numFmtId="2" fontId="8" fillId="2" borderId="23" xfId="1" applyNumberFormat="1" applyFont="1" applyFill="1" applyBorder="1" applyAlignment="1" applyProtection="1">
      <alignment vertical="center"/>
    </xf>
    <xf numFmtId="2" fontId="8" fillId="2" borderId="15" xfId="1" applyNumberFormat="1" applyFont="1" applyFill="1" applyBorder="1" applyAlignment="1" applyProtection="1">
      <alignment vertical="center"/>
    </xf>
    <xf numFmtId="2" fontId="8" fillId="2" borderId="4" xfId="1" applyNumberFormat="1" applyFont="1" applyFill="1" applyBorder="1" applyAlignment="1" applyProtection="1">
      <alignment vertical="center"/>
    </xf>
    <xf numFmtId="2" fontId="8" fillId="2" borderId="24" xfId="1" applyNumberFormat="1" applyFont="1" applyFill="1" applyBorder="1" applyAlignment="1" applyProtection="1">
      <alignment vertical="center"/>
    </xf>
    <xf numFmtId="165" fontId="8" fillId="2" borderId="26" xfId="4" applyNumberFormat="1" applyFont="1" applyFill="1" applyBorder="1" applyAlignment="1" applyProtection="1">
      <alignment vertical="center"/>
    </xf>
    <xf numFmtId="165" fontId="8" fillId="2" borderId="27" xfId="4" applyNumberFormat="1" applyFont="1" applyFill="1" applyBorder="1" applyAlignment="1" applyProtection="1">
      <alignment vertical="center"/>
    </xf>
    <xf numFmtId="165" fontId="8" fillId="2" borderId="29" xfId="4" applyNumberFormat="1" applyFont="1" applyFill="1" applyBorder="1" applyAlignment="1" applyProtection="1">
      <alignment vertical="center"/>
    </xf>
    <xf numFmtId="1" fontId="2" fillId="2" borderId="26" xfId="1" applyNumberFormat="1" applyFont="1" applyFill="1" applyBorder="1" applyAlignment="1" applyProtection="1">
      <alignment horizontal="center" vertical="center" wrapText="1"/>
    </xf>
    <xf numFmtId="1" fontId="2" fillId="2" borderId="29" xfId="1" applyNumberFormat="1" applyFont="1" applyFill="1" applyBorder="1" applyAlignment="1" applyProtection="1">
      <alignment horizontal="center" vertical="center" wrapText="1"/>
    </xf>
    <xf numFmtId="165" fontId="8" fillId="2" borderId="39" xfId="4" applyNumberFormat="1" applyFont="1" applyFill="1" applyBorder="1" applyAlignment="1" applyProtection="1">
      <alignment vertical="center"/>
    </xf>
    <xf numFmtId="0" fontId="2" fillId="2" borderId="17" xfId="1" applyFont="1" applyFill="1" applyBorder="1" applyAlignment="1" applyProtection="1">
      <alignment horizontal="center" vertical="center" wrapText="1"/>
    </xf>
    <xf numFmtId="0" fontId="2" fillId="2" borderId="29" xfId="1" applyFont="1" applyFill="1" applyBorder="1" applyAlignment="1" applyProtection="1">
      <alignment horizontal="center" vertical="center" wrapText="1"/>
    </xf>
    <xf numFmtId="0" fontId="2" fillId="2" borderId="34" xfId="1" applyFont="1" applyFill="1" applyBorder="1" applyAlignment="1" applyProtection="1">
      <alignment horizontal="center" vertical="center" wrapText="1"/>
    </xf>
    <xf numFmtId="0" fontId="2" fillId="2" borderId="23" xfId="1" applyFont="1" applyFill="1" applyBorder="1" applyAlignment="1" applyProtection="1">
      <alignment horizontal="center" vertical="center" wrapText="1"/>
    </xf>
    <xf numFmtId="10" fontId="2" fillId="2" borderId="1" xfId="6" applyNumberFormat="1" applyFont="1" applyFill="1" applyBorder="1" applyAlignment="1" applyProtection="1">
      <alignment horizontal="center" vertical="center" wrapText="1"/>
    </xf>
    <xf numFmtId="166" fontId="2" fillId="2" borderId="1" xfId="6" applyNumberFormat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1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9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/>
    </xf>
    <xf numFmtId="10" fontId="2" fillId="2" borderId="14" xfId="6" applyNumberFormat="1" applyFont="1" applyFill="1" applyBorder="1" applyAlignment="1" applyProtection="1">
      <alignment horizontal="center" vertical="center" wrapText="1"/>
    </xf>
    <xf numFmtId="10" fontId="2" fillId="2" borderId="3" xfId="6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5" fontId="2" fillId="2" borderId="14" xfId="1" applyNumberFormat="1" applyFont="1" applyFill="1" applyBorder="1" applyAlignment="1" applyProtection="1">
      <alignment horizontal="center" vertical="center" wrapText="1"/>
    </xf>
    <xf numFmtId="165" fontId="2" fillId="2" borderId="3" xfId="1" applyNumberFormat="1" applyFont="1" applyFill="1" applyBorder="1" applyAlignment="1" applyProtection="1">
      <alignment horizontal="center" vertical="center" wrapText="1"/>
    </xf>
    <xf numFmtId="9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27" xfId="1" applyFont="1" applyFill="1" applyBorder="1" applyAlignment="1" applyProtection="1">
      <alignment horizontal="center" vertical="center" wrapText="1"/>
    </xf>
    <xf numFmtId="0" fontId="2" fillId="2" borderId="39" xfId="1" applyFont="1" applyFill="1" applyBorder="1" applyAlignment="1" applyProtection="1">
      <alignment horizontal="center" vertical="center" wrapText="1"/>
    </xf>
    <xf numFmtId="0" fontId="2" fillId="2" borderId="46" xfId="1" applyFont="1" applyFill="1" applyBorder="1" applyAlignment="1" applyProtection="1">
      <alignment horizontal="center" vertical="center" wrapText="1"/>
    </xf>
    <xf numFmtId="1" fontId="2" fillId="2" borderId="27" xfId="1" applyNumberFormat="1" applyFont="1" applyFill="1" applyBorder="1" applyAlignment="1" applyProtection="1">
      <alignment horizontal="center" vertical="center" wrapText="1"/>
    </xf>
    <xf numFmtId="1" fontId="2" fillId="2" borderId="46" xfId="1" applyNumberFormat="1" applyFont="1" applyFill="1" applyBorder="1" applyAlignment="1" applyProtection="1">
      <alignment horizontal="center" vertical="center" wrapText="1"/>
    </xf>
    <xf numFmtId="0" fontId="2" fillId="2" borderId="47" xfId="1" applyFont="1" applyFill="1" applyBorder="1" applyAlignment="1" applyProtection="1">
      <alignment horizontal="center" vertical="center" wrapText="1"/>
    </xf>
    <xf numFmtId="10" fontId="2" fillId="2" borderId="2" xfId="6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 wrapText="1"/>
    </xf>
    <xf numFmtId="166" fontId="2" fillId="2" borderId="2" xfId="6" applyNumberFormat="1" applyFont="1" applyFill="1" applyBorder="1" applyAlignment="1" applyProtection="1">
      <alignment horizontal="center" vertical="center" wrapText="1"/>
    </xf>
    <xf numFmtId="172" fontId="2" fillId="2" borderId="2" xfId="6" applyNumberFormat="1" applyFont="1" applyFill="1" applyBorder="1" applyAlignment="1" applyProtection="1">
      <alignment horizontal="center" vertical="center" wrapText="1"/>
    </xf>
    <xf numFmtId="172" fontId="2" fillId="2" borderId="1" xfId="6" applyNumberFormat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2" fontId="2" fillId="2" borderId="3" xfId="1" applyNumberFormat="1" applyFont="1" applyFill="1" applyBorder="1" applyAlignment="1" applyProtection="1">
      <alignment horizontal="center" vertical="center" wrapText="1"/>
    </xf>
    <xf numFmtId="1" fontId="2" fillId="2" borderId="14" xfId="1" applyNumberFormat="1" applyFont="1" applyFill="1" applyBorder="1" applyAlignment="1" applyProtection="1">
      <alignment horizontal="center" vertical="center" wrapText="1"/>
    </xf>
    <xf numFmtId="0" fontId="2" fillId="2" borderId="22" xfId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 wrapText="1"/>
    </xf>
    <xf numFmtId="165" fontId="2" fillId="2" borderId="3" xfId="4" applyNumberFormat="1" applyFont="1" applyFill="1" applyBorder="1" applyAlignment="1" applyProtection="1">
      <alignment horizontal="center" vertical="center" wrapText="1"/>
    </xf>
    <xf numFmtId="0" fontId="2" fillId="2" borderId="21" xfId="1" applyFont="1" applyFill="1" applyBorder="1" applyAlignment="1" applyProtection="1">
      <alignment horizontal="center" vertical="center" wrapText="1"/>
    </xf>
    <xf numFmtId="2" fontId="2" fillId="2" borderId="14" xfId="1" applyNumberFormat="1" applyFont="1" applyFill="1" applyBorder="1" applyAlignment="1" applyProtection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1" fillId="2" borderId="0" xfId="1" applyFont="1" applyFill="1" applyAlignment="1" applyProtection="1">
      <alignment horizontal="center"/>
    </xf>
    <xf numFmtId="0" fontId="12" fillId="2" borderId="0" xfId="1" applyFont="1" applyFill="1" applyAlignment="1" applyProtection="1">
      <alignment horizontal="center" wrapText="1"/>
    </xf>
    <xf numFmtId="0" fontId="2" fillId="2" borderId="14" xfId="1" applyNumberFormat="1" applyFont="1" applyFill="1" applyBorder="1" applyAlignment="1" applyProtection="1">
      <alignment horizontal="center" vertical="center" wrapText="1"/>
    </xf>
    <xf numFmtId="1" fontId="2" fillId="2" borderId="28" xfId="1" applyNumberFormat="1" applyFont="1" applyFill="1" applyBorder="1" applyAlignment="1" applyProtection="1">
      <alignment horizontal="center" vertical="center" wrapText="1"/>
    </xf>
    <xf numFmtId="0" fontId="11" fillId="2" borderId="0" xfId="1" applyFont="1" applyFill="1" applyAlignment="1" applyProtection="1">
      <alignment horizontal="center"/>
    </xf>
    <xf numFmtId="0" fontId="12" fillId="2" borderId="0" xfId="1" applyFont="1" applyFill="1" applyAlignment="1" applyProtection="1">
      <alignment horizontal="center" wrapText="1"/>
    </xf>
    <xf numFmtId="0" fontId="2" fillId="2" borderId="21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2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2" fontId="2" fillId="2" borderId="14" xfId="1" applyNumberFormat="1" applyFont="1" applyFill="1" applyBorder="1" applyAlignment="1" applyProtection="1">
      <alignment horizontal="center" vertical="center" wrapText="1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22" xfId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 wrapText="1"/>
    </xf>
    <xf numFmtId="165" fontId="2" fillId="2" borderId="3" xfId="4" applyNumberFormat="1" applyFont="1" applyFill="1" applyBorder="1" applyAlignment="1" applyProtection="1">
      <alignment horizontal="center" vertical="center" wrapText="1"/>
    </xf>
    <xf numFmtId="1" fontId="2" fillId="2" borderId="14" xfId="1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30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68" fontId="10" fillId="0" borderId="2" xfId="5" applyNumberFormat="1" applyFont="1" applyBorder="1" applyAlignment="1">
      <alignment horizontal="center" vertical="center" wrapText="1"/>
    </xf>
    <xf numFmtId="171" fontId="17" fillId="0" borderId="0" xfId="0" applyNumberFormat="1" applyFont="1"/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8" fontId="19" fillId="0" borderId="10" xfId="0" applyNumberFormat="1" applyFont="1" applyBorder="1" applyAlignment="1">
      <alignment horizontal="center" vertical="center" wrapText="1"/>
    </xf>
    <xf numFmtId="168" fontId="19" fillId="0" borderId="29" xfId="0" applyNumberFormat="1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168" fontId="8" fillId="0" borderId="16" xfId="12" applyNumberFormat="1" applyFont="1" applyFill="1" applyBorder="1" applyAlignment="1">
      <alignment horizontal="center" vertical="center" wrapText="1"/>
    </xf>
    <xf numFmtId="168" fontId="8" fillId="0" borderId="28" xfId="1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8" fontId="2" fillId="0" borderId="2" xfId="12" applyNumberFormat="1" applyFont="1" applyFill="1" applyBorder="1" applyAlignment="1">
      <alignment horizontal="center" vertical="center" wrapText="1"/>
    </xf>
    <xf numFmtId="168" fontId="2" fillId="0" borderId="26" xfId="12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168" fontId="2" fillId="0" borderId="2" xfId="12" applyNumberFormat="1" applyFont="1" applyFill="1" applyBorder="1" applyAlignment="1">
      <alignment horizontal="justify" vertical="center" wrapText="1"/>
    </xf>
    <xf numFmtId="171" fontId="2" fillId="0" borderId="0" xfId="0" applyNumberFormat="1" applyFont="1" applyFill="1" applyBorder="1" applyAlignment="1">
      <alignment horizontal="justify" vertical="center" wrapText="1"/>
    </xf>
    <xf numFmtId="168" fontId="2" fillId="0" borderId="0" xfId="12" applyNumberFormat="1" applyFont="1" applyFill="1" applyBorder="1" applyAlignment="1">
      <alignment horizontal="justify" vertical="center" wrapText="1"/>
    </xf>
    <xf numFmtId="0" fontId="2" fillId="0" borderId="1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168" fontId="2" fillId="0" borderId="1" xfId="12" applyNumberFormat="1" applyFont="1" applyFill="1" applyBorder="1" applyAlignment="1">
      <alignment horizontal="justify" vertical="center" wrapText="1"/>
    </xf>
    <xf numFmtId="0" fontId="10" fillId="0" borderId="0" xfId="0" applyFont="1" applyFill="1"/>
    <xf numFmtId="165" fontId="2" fillId="0" borderId="10" xfId="12" applyNumberFormat="1" applyFont="1" applyFill="1" applyBorder="1" applyAlignment="1">
      <alignment horizontal="justify" vertical="center" wrapText="1"/>
    </xf>
    <xf numFmtId="168" fontId="2" fillId="0" borderId="10" xfId="12" applyNumberFormat="1" applyFont="1" applyFill="1" applyBorder="1" applyAlignment="1">
      <alignment horizontal="justify" vertical="center" wrapText="1"/>
    </xf>
    <xf numFmtId="1" fontId="13" fillId="2" borderId="44" xfId="1" applyNumberFormat="1" applyFont="1" applyFill="1" applyBorder="1" applyAlignment="1" applyProtection="1">
      <alignment horizontal="center" vertical="center" wrapText="1"/>
    </xf>
    <xf numFmtId="1" fontId="13" fillId="2" borderId="0" xfId="1" applyNumberFormat="1" applyFont="1" applyFill="1" applyBorder="1" applyAlignment="1" applyProtection="1">
      <alignment horizontal="center" vertical="center" wrapText="1"/>
    </xf>
    <xf numFmtId="1" fontId="13" fillId="2" borderId="36" xfId="1" applyNumberFormat="1" applyFont="1" applyFill="1" applyBorder="1" applyAlignment="1" applyProtection="1">
      <alignment horizontal="center" vertical="center" wrapText="1"/>
    </xf>
    <xf numFmtId="1" fontId="13" fillId="2" borderId="45" xfId="1" applyNumberFormat="1" applyFont="1" applyFill="1" applyBorder="1" applyAlignment="1" applyProtection="1">
      <alignment horizontal="center" vertical="center" wrapText="1"/>
    </xf>
    <xf numFmtId="1" fontId="13" fillId="2" borderId="32" xfId="1" applyNumberFormat="1" applyFont="1" applyFill="1" applyBorder="1" applyAlignment="1" applyProtection="1">
      <alignment horizontal="center" vertical="center" wrapText="1"/>
    </xf>
    <xf numFmtId="1" fontId="13" fillId="2" borderId="37" xfId="1" applyNumberFormat="1" applyFont="1" applyFill="1" applyBorder="1" applyAlignment="1" applyProtection="1">
      <alignment horizontal="center" vertical="center" wrapText="1"/>
    </xf>
    <xf numFmtId="1" fontId="13" fillId="2" borderId="41" xfId="1" applyNumberFormat="1" applyFont="1" applyFill="1" applyBorder="1" applyAlignment="1" applyProtection="1">
      <alignment horizontal="center" vertical="center" wrapText="1"/>
    </xf>
    <xf numFmtId="1" fontId="13" fillId="2" borderId="42" xfId="1" applyNumberFormat="1" applyFont="1" applyFill="1" applyBorder="1" applyAlignment="1" applyProtection="1">
      <alignment horizontal="center" vertical="center" wrapText="1"/>
    </xf>
    <xf numFmtId="1" fontId="13" fillId="2" borderId="43" xfId="1" applyNumberFormat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2" fontId="2" fillId="2" borderId="3" xfId="1" applyNumberFormat="1" applyFont="1" applyFill="1" applyBorder="1" applyAlignment="1" applyProtection="1">
      <alignment horizontal="center" vertical="center" wrapText="1"/>
    </xf>
    <xf numFmtId="1" fontId="2" fillId="2" borderId="14" xfId="1" applyNumberFormat="1" applyFont="1" applyFill="1" applyBorder="1" applyAlignment="1" applyProtection="1">
      <alignment horizontal="center" vertical="center" wrapText="1"/>
    </xf>
    <xf numFmtId="2" fontId="2" fillId="2" borderId="22" xfId="1" applyNumberFormat="1" applyFont="1" applyFill="1" applyBorder="1" applyAlignment="1" applyProtection="1">
      <alignment horizontal="center" vertical="center" wrapText="1"/>
    </xf>
    <xf numFmtId="0" fontId="2" fillId="2" borderId="20" xfId="1" applyFont="1" applyFill="1" applyBorder="1" applyAlignment="1" applyProtection="1">
      <alignment horizontal="center" vertical="center" wrapText="1"/>
    </xf>
    <xf numFmtId="0" fontId="2" fillId="2" borderId="22" xfId="1" applyFont="1" applyFill="1" applyBorder="1" applyAlignment="1" applyProtection="1">
      <alignment horizontal="center" vertical="center" wrapText="1"/>
    </xf>
    <xf numFmtId="0" fontId="2" fillId="2" borderId="1" xfId="4" applyNumberFormat="1" applyFont="1" applyFill="1" applyBorder="1" applyAlignment="1" applyProtection="1">
      <alignment horizontal="center" vertical="center" wrapText="1"/>
    </xf>
    <xf numFmtId="0" fontId="2" fillId="2" borderId="3" xfId="4" applyNumberFormat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 wrapText="1"/>
    </xf>
    <xf numFmtId="165" fontId="2" fillId="2" borderId="3" xfId="4" applyNumberFormat="1" applyFont="1" applyFill="1" applyBorder="1" applyAlignment="1" applyProtection="1">
      <alignment horizontal="center" vertical="center" wrapText="1"/>
    </xf>
    <xf numFmtId="0" fontId="2" fillId="2" borderId="21" xfId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2" fontId="2" fillId="2" borderId="14" xfId="1" applyNumberFormat="1" applyFont="1" applyFill="1" applyBorder="1" applyAlignment="1" applyProtection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 wrapText="1"/>
    </xf>
    <xf numFmtId="0" fontId="11" fillId="2" borderId="0" xfId="1" applyFont="1" applyFill="1" applyAlignment="1" applyProtection="1">
      <alignment horizontal="center"/>
    </xf>
    <xf numFmtId="0" fontId="12" fillId="2" borderId="0" xfId="1" applyFont="1" applyFill="1" applyAlignment="1" applyProtection="1">
      <alignment horizontal="center" wrapText="1"/>
    </xf>
    <xf numFmtId="0" fontId="16" fillId="0" borderId="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</cellXfs>
  <cellStyles count="19">
    <cellStyle name="Comma" xfId="5" builtinId="3"/>
    <cellStyle name="Comma 10" xfId="12"/>
    <cellStyle name="Comma 2" xfId="13"/>
    <cellStyle name="Comma 2 2" xfId="15"/>
    <cellStyle name="Comma 2 2 2" xfId="2"/>
    <cellStyle name="Comma 4 2" xfId="3"/>
    <cellStyle name="Comma 7 2 2" xfId="4"/>
    <cellStyle name="Comma 9" xfId="14"/>
    <cellStyle name="Normal" xfId="0" builtinId="0"/>
    <cellStyle name="Normal 14 2" xfId="1"/>
    <cellStyle name="Normal 2" xfId="10"/>
    <cellStyle name="Normal 3" xfId="11"/>
    <cellStyle name="Normal 4" xfId="16"/>
    <cellStyle name="Normal 5" xfId="17"/>
    <cellStyle name="Normal 6" xfId="18"/>
    <cellStyle name="Percent 3 2" xfId="8"/>
    <cellStyle name="Percent 5 2 2" xfId="6"/>
    <cellStyle name="Финансовый 2 2" xfId="9"/>
    <cellStyle name="Финансовый 4 2" xfId="7"/>
  </cellStyles>
  <dxfs count="12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ayane/Gayane_official/save/VTB-verjnakan/VTB_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ira.Manrikyan\Desktop\&#1332;&#1387;%20&#1384;&#1398;&#1380;%20&#1335;&#1397;&#1403;%20&#1331;&#1408;&#1400;&#1410;&#1402;%20&#1357;&#1354;&#1336;%2010&#1396;&#1388;&#1398;%20$%20Eurobond%20&#1415;%208%20&#1396;&#1388;&#1408;&#1380;%20&#1380;&#1408;&#1377;&#1396;\D&amp;H%2010%20mln%20$%20%20&#1411;&#1400;&#1411;.%20&#1379;&#1400;&#1408;&#1390;&#1400;&#139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bligation/Share/229/Ashxatanqain/&#1355;&#1377;&#1398;&#1403;&#1400;&#1410;&#1394;&#1377;&#1382;&#1397;&#1377;&#1398;%20&#1415;%20&#1334;&#1377;&#1408;&#1379;&#1377;&#1408;&#1397;&#1377;&#1398;/TEXEKANQNER/Texekanqner-2025/Portfel%202025/2025.28.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2014"/>
      <sheetName val="VTB kanxatesum"/>
      <sheetName val="Report 2013,2015"/>
      <sheetName val="Sheet2"/>
      <sheetName val="VTB"/>
      <sheetName val="Report 2012"/>
      <sheetName val="Sheet1"/>
      <sheetName val="Report 2011"/>
      <sheetName val="Report 2010"/>
      <sheetName val="Report 2009"/>
      <sheetName val="Report 2008"/>
      <sheetName val="VTB hamemat"/>
      <sheetName val="VTB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,08,20 գործող"/>
      <sheetName val="փաստացի "/>
      <sheetName val="փաստացի մարում"/>
      <sheetName val="Sheet1"/>
      <sheetName val="Սաթունց"/>
      <sheetName val="Հաշվարկ 10 մլն հին"/>
      <sheetName val="Sheet2"/>
    </sheetNames>
    <sheetDataSet>
      <sheetData sheetId="0">
        <row r="55">
          <cell r="I55">
            <v>37945.651610226625</v>
          </cell>
        </row>
        <row r="56">
          <cell r="I56">
            <v>37130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դեկտեմբեր2023"/>
      <sheetName val="Sheet1"/>
      <sheetName val="հունվար"/>
      <sheetName val="փետրվոր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facebook.com/ardshinbank?__cft__%5b0%5d=AZX4cLQ36QQaveYmBJLNwM4i3yFL-Jq3lRMglBMvmMyCeaCmf9KseiRpedNzsD-w-NUz5L1S3K9pPu7PRUOKhTbC9zl5ixI2qODNbaDOK9ZJTdu8Aeg6oTqRZlc5bdxBSExwRTq39SrkOfi8-FJqwhyrVUTqvR1t9KnNN6VATB5fXzqOBdW76ka9eHqdrKDhscC4ZqJLedR9d_aUCgzs2r4a&amp;__tn__=-UC%2CP-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7"/>
  <sheetViews>
    <sheetView topLeftCell="B1" zoomScale="90" zoomScaleNormal="90" workbookViewId="0">
      <pane xSplit="1" ySplit="4" topLeftCell="H159" activePane="bottomRight" state="frozen"/>
      <selection activeCell="B1" sqref="B1"/>
      <selection pane="topRight" activeCell="C1" sqref="C1"/>
      <selection pane="bottomLeft" activeCell="B5" sqref="B5"/>
      <selection pane="bottomRight" activeCell="L99" sqref="L99"/>
    </sheetView>
  </sheetViews>
  <sheetFormatPr defaultRowHeight="13.5" outlineLevelRow="1" x14ac:dyDescent="0.25"/>
  <cols>
    <col min="1" max="1" width="6.85546875" style="6" customWidth="1"/>
    <col min="2" max="2" width="30.42578125" style="20" customWidth="1"/>
    <col min="3" max="3" width="30.42578125" style="6" customWidth="1"/>
    <col min="4" max="5" width="19.28515625" style="6" customWidth="1"/>
    <col min="6" max="6" width="23" style="6" customWidth="1"/>
    <col min="7" max="7" width="23.28515625" style="72" customWidth="1"/>
    <col min="8" max="8" width="20.140625" style="6" customWidth="1"/>
    <col min="9" max="9" width="16.42578125" style="6" bestFit="1" customWidth="1"/>
    <col min="10" max="10" width="21.28515625" style="6" customWidth="1"/>
    <col min="11" max="11" width="20.28515625" style="6" customWidth="1"/>
    <col min="12" max="12" width="21.7109375" style="74" customWidth="1"/>
    <col min="13" max="13" width="18.5703125" style="6" customWidth="1"/>
    <col min="14" max="14" width="18.85546875" style="6" bestFit="1" customWidth="1"/>
    <col min="15" max="15" width="26.7109375" style="6" bestFit="1" customWidth="1"/>
    <col min="16" max="16" width="26.42578125" style="6" customWidth="1"/>
    <col min="17" max="17" width="23.42578125" style="6" customWidth="1"/>
    <col min="18" max="18" width="23.5703125" style="5" customWidth="1"/>
    <col min="19" max="19" width="21.85546875" style="6" customWidth="1"/>
    <col min="20" max="16384" width="9.140625" style="6"/>
  </cols>
  <sheetData>
    <row r="1" spans="1:19" ht="22.5" x14ac:dyDescent="0.4">
      <c r="A1" s="272" t="s">
        <v>10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174"/>
    </row>
    <row r="2" spans="1:19" ht="55.5" customHeight="1" x14ac:dyDescent="0.4">
      <c r="A2" s="273" t="s">
        <v>497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175"/>
    </row>
    <row r="3" spans="1:19" ht="33.75" customHeight="1" thickBot="1" x14ac:dyDescent="0.3">
      <c r="A3" s="18"/>
      <c r="C3" s="18"/>
      <c r="D3" s="18"/>
      <c r="E3" s="18"/>
      <c r="F3" s="18"/>
      <c r="G3" s="100"/>
      <c r="H3" s="18"/>
      <c r="I3" s="18"/>
      <c r="J3" s="18"/>
      <c r="K3" s="18"/>
      <c r="L3" s="101"/>
      <c r="M3" s="18"/>
      <c r="N3" s="18"/>
      <c r="O3" s="18"/>
      <c r="P3" s="18"/>
      <c r="Q3" s="7"/>
    </row>
    <row r="4" spans="1:19" s="2" customFormat="1" ht="114" customHeight="1" thickBot="1" x14ac:dyDescent="0.3">
      <c r="A4" s="21" t="s">
        <v>11</v>
      </c>
      <c r="B4" s="22" t="s">
        <v>12</v>
      </c>
      <c r="C4" s="22" t="s">
        <v>13</v>
      </c>
      <c r="D4" s="22" t="s">
        <v>14</v>
      </c>
      <c r="E4" s="22" t="s">
        <v>439</v>
      </c>
      <c r="F4" s="22" t="s">
        <v>431</v>
      </c>
      <c r="G4" s="22" t="s">
        <v>287</v>
      </c>
      <c r="H4" s="22" t="s">
        <v>279</v>
      </c>
      <c r="I4" s="22" t="s">
        <v>15</v>
      </c>
      <c r="J4" s="22" t="s">
        <v>16</v>
      </c>
      <c r="K4" s="22" t="s">
        <v>17</v>
      </c>
      <c r="L4" s="23" t="s">
        <v>18</v>
      </c>
      <c r="M4" s="22" t="s">
        <v>19</v>
      </c>
      <c r="N4" s="22" t="s">
        <v>20</v>
      </c>
      <c r="O4" s="22" t="s">
        <v>21</v>
      </c>
      <c r="P4" s="22" t="s">
        <v>22</v>
      </c>
      <c r="Q4" s="102" t="s">
        <v>432</v>
      </c>
      <c r="R4" s="1"/>
      <c r="S4" s="81"/>
    </row>
    <row r="5" spans="1:19" ht="75" customHeight="1" outlineLevel="1" x14ac:dyDescent="0.25">
      <c r="A5" s="266">
        <v>1</v>
      </c>
      <c r="B5" s="157" t="s">
        <v>23</v>
      </c>
      <c r="C5" s="24" t="s">
        <v>24</v>
      </c>
      <c r="D5" s="164" t="s">
        <v>25</v>
      </c>
      <c r="E5" s="271" t="s">
        <v>440</v>
      </c>
      <c r="F5" s="164" t="s">
        <v>433</v>
      </c>
      <c r="G5" s="268" t="s">
        <v>288</v>
      </c>
      <c r="H5" s="164" t="s">
        <v>26</v>
      </c>
      <c r="I5" s="26" t="s">
        <v>27</v>
      </c>
      <c r="J5" s="170">
        <v>7300000</v>
      </c>
      <c r="K5" s="170">
        <f>5822389.5+13412.1+4470.7+716451.75+24588.85+716451.75+2235.35</f>
        <v>7299999.9999999991</v>
      </c>
      <c r="L5" s="25" t="s">
        <v>28</v>
      </c>
      <c r="M5" s="170">
        <f>595000+119000+119000+119000+119000+119000+119000+49036330/412.07</f>
        <v>1428000</v>
      </c>
      <c r="N5" s="170">
        <f>652083.5+22907.49+9236384.2/412.07</f>
        <v>697405.58994661097</v>
      </c>
      <c r="O5" s="170">
        <f t="shared" ref="O5:O35" si="0">K5-M5</f>
        <v>5871999.9999999991</v>
      </c>
      <c r="P5" s="126" t="s">
        <v>441</v>
      </c>
      <c r="Q5" s="146" t="s">
        <v>434</v>
      </c>
      <c r="S5" s="5"/>
    </row>
    <row r="6" spans="1:19" ht="75.75" customHeight="1" outlineLevel="1" x14ac:dyDescent="0.25">
      <c r="A6" s="251"/>
      <c r="B6" s="130" t="s">
        <v>23</v>
      </c>
      <c r="C6" s="27" t="s">
        <v>30</v>
      </c>
      <c r="D6" s="164" t="s">
        <v>25</v>
      </c>
      <c r="E6" s="271"/>
      <c r="F6" s="135" t="s">
        <v>433</v>
      </c>
      <c r="G6" s="270"/>
      <c r="H6" s="135" t="s">
        <v>31</v>
      </c>
      <c r="I6" s="131" t="s">
        <v>27</v>
      </c>
      <c r="J6" s="152">
        <v>7300000</v>
      </c>
      <c r="K6" s="152">
        <v>7299999.9999999981</v>
      </c>
      <c r="L6" s="137" t="s">
        <v>32</v>
      </c>
      <c r="M6" s="152">
        <f>5474999.9+304166.7+304166.7+304166.7+304166.7+304166.7+304167</f>
        <v>7300000.4000000013</v>
      </c>
      <c r="N6" s="152">
        <f>1226756+8356.16+4154.77</f>
        <v>1239266.93</v>
      </c>
      <c r="O6" s="152">
        <f t="shared" si="0"/>
        <v>-0.40000000316649675</v>
      </c>
      <c r="P6" s="84" t="s">
        <v>33</v>
      </c>
      <c r="Q6" s="97" t="s">
        <v>502</v>
      </c>
      <c r="S6" s="5"/>
    </row>
    <row r="7" spans="1:19" ht="79.5" customHeight="1" outlineLevel="1" x14ac:dyDescent="0.25">
      <c r="A7" s="129">
        <v>2</v>
      </c>
      <c r="B7" s="130" t="s">
        <v>23</v>
      </c>
      <c r="C7" s="130" t="s">
        <v>34</v>
      </c>
      <c r="D7" s="135" t="s">
        <v>25</v>
      </c>
      <c r="E7" s="173" t="s">
        <v>442</v>
      </c>
      <c r="F7" s="135" t="s">
        <v>433</v>
      </c>
      <c r="G7" s="173" t="s">
        <v>289</v>
      </c>
      <c r="H7" s="135" t="s">
        <v>35</v>
      </c>
      <c r="I7" s="131" t="s">
        <v>27</v>
      </c>
      <c r="J7" s="152">
        <v>14060526.73</v>
      </c>
      <c r="K7" s="152">
        <v>14060526.73</v>
      </c>
      <c r="L7" s="151">
        <v>7.4999999999999997E-3</v>
      </c>
      <c r="M7" s="152">
        <f>5858552.73979552+234342.1+234342.1+98055764.9/418.43+98932204.4/422.17+104987604.2/448.01+97345708.3/415.4+96565349.2/412.07</f>
        <v>7498947.4398756567</v>
      </c>
      <c r="N7" s="152">
        <f>1294472.69934396+40254.3+39195.3+16095956/418.43+15796672.6/422.17+16433280.1/448.01+14866002.9/415.4+14315888.7/412.07</f>
        <v>1557016.8093066525</v>
      </c>
      <c r="O7" s="152">
        <f t="shared" si="0"/>
        <v>6561579.2901243437</v>
      </c>
      <c r="P7" s="84" t="s">
        <v>29</v>
      </c>
      <c r="Q7" s="97" t="s">
        <v>434</v>
      </c>
      <c r="S7" s="5"/>
    </row>
    <row r="8" spans="1:19" ht="78.75" customHeight="1" outlineLevel="1" x14ac:dyDescent="0.25">
      <c r="A8" s="129">
        <v>3</v>
      </c>
      <c r="B8" s="130" t="s">
        <v>23</v>
      </c>
      <c r="C8" s="130" t="s">
        <v>36</v>
      </c>
      <c r="D8" s="135" t="s">
        <v>25</v>
      </c>
      <c r="E8" s="173" t="s">
        <v>447</v>
      </c>
      <c r="F8" s="135" t="s">
        <v>433</v>
      </c>
      <c r="G8" s="134" t="s">
        <v>290</v>
      </c>
      <c r="H8" s="135" t="s">
        <v>37</v>
      </c>
      <c r="I8" s="131" t="s">
        <v>27</v>
      </c>
      <c r="J8" s="152">
        <v>75000000</v>
      </c>
      <c r="K8" s="152"/>
      <c r="L8" s="151" t="s">
        <v>38</v>
      </c>
      <c r="M8" s="152"/>
      <c r="N8" s="152">
        <f>1932812.5+93750+93750+93750+93750+42000937.5/448.01+38943750/415.4+38631562.5/412.07</f>
        <v>2589062.5</v>
      </c>
      <c r="O8" s="152">
        <f t="shared" si="0"/>
        <v>0</v>
      </c>
      <c r="P8" s="84" t="s">
        <v>33</v>
      </c>
      <c r="Q8" s="97" t="s">
        <v>434</v>
      </c>
      <c r="S8" s="5"/>
    </row>
    <row r="9" spans="1:19" ht="81.75" customHeight="1" outlineLevel="1" x14ac:dyDescent="0.25">
      <c r="A9" s="250">
        <v>4</v>
      </c>
      <c r="B9" s="156" t="s">
        <v>23</v>
      </c>
      <c r="C9" s="247" t="s">
        <v>36</v>
      </c>
      <c r="D9" s="135" t="s">
        <v>25</v>
      </c>
      <c r="E9" s="267" t="s">
        <v>447</v>
      </c>
      <c r="F9" s="135" t="s">
        <v>433</v>
      </c>
      <c r="G9" s="262" t="s">
        <v>290</v>
      </c>
      <c r="H9" s="254" t="s">
        <v>39</v>
      </c>
      <c r="I9" s="131" t="s">
        <v>27</v>
      </c>
      <c r="J9" s="152">
        <v>10200000</v>
      </c>
      <c r="K9" s="152">
        <v>1351029.92</v>
      </c>
      <c r="L9" s="127" t="s">
        <v>28</v>
      </c>
      <c r="M9" s="152">
        <v>0</v>
      </c>
      <c r="N9" s="152">
        <f>200690.672577969+15587.2+6522152.1/418.43+6580448.3/422.17+6983221.5/448.01+6474922.9/415.4+6488083.3/412.07</f>
        <v>294371.77273986983</v>
      </c>
      <c r="O9" s="152">
        <f>K9-M9</f>
        <v>1351029.92</v>
      </c>
      <c r="P9" s="247" t="s">
        <v>33</v>
      </c>
      <c r="Q9" s="97" t="s">
        <v>434</v>
      </c>
      <c r="S9" s="5"/>
    </row>
    <row r="10" spans="1:19" ht="76.5" customHeight="1" outlineLevel="1" x14ac:dyDescent="0.25">
      <c r="A10" s="251"/>
      <c r="B10" s="156" t="s">
        <v>23</v>
      </c>
      <c r="C10" s="248"/>
      <c r="D10" s="135" t="s">
        <v>418</v>
      </c>
      <c r="E10" s="268"/>
      <c r="F10" s="164" t="s">
        <v>435</v>
      </c>
      <c r="G10" s="263"/>
      <c r="H10" s="255"/>
      <c r="I10" s="131" t="s">
        <v>2</v>
      </c>
      <c r="J10" s="152"/>
      <c r="K10" s="152">
        <v>257052669.90000001</v>
      </c>
      <c r="L10" s="127" t="s">
        <v>28</v>
      </c>
      <c r="M10" s="152"/>
      <c r="N10" s="152">
        <f>9774294.3+915305.4+915305.4+915305.4+915305.4+937784.6</f>
        <v>14373300.500000002</v>
      </c>
      <c r="O10" s="152">
        <f>K10-M10</f>
        <v>257052669.90000001</v>
      </c>
      <c r="P10" s="248"/>
      <c r="Q10" s="146" t="s">
        <v>434</v>
      </c>
      <c r="S10" s="5"/>
    </row>
    <row r="11" spans="1:19" ht="76.5" customHeight="1" outlineLevel="1" x14ac:dyDescent="0.25">
      <c r="A11" s="250">
        <v>5</v>
      </c>
      <c r="B11" s="156" t="s">
        <v>23</v>
      </c>
      <c r="C11" s="247" t="s">
        <v>40</v>
      </c>
      <c r="D11" s="135" t="s">
        <v>122</v>
      </c>
      <c r="E11" s="262" t="s">
        <v>448</v>
      </c>
      <c r="F11" s="135" t="s">
        <v>433</v>
      </c>
      <c r="G11" s="262" t="s">
        <v>291</v>
      </c>
      <c r="H11" s="254" t="s">
        <v>41</v>
      </c>
      <c r="I11" s="131" t="s">
        <v>27</v>
      </c>
      <c r="J11" s="152">
        <v>10000000</v>
      </c>
      <c r="K11" s="152"/>
      <c r="L11" s="127" t="s">
        <v>42</v>
      </c>
      <c r="M11" s="152"/>
      <c r="N11" s="152">
        <v>50000</v>
      </c>
      <c r="O11" s="152">
        <f>K11-M11</f>
        <v>0</v>
      </c>
      <c r="P11" s="247" t="s">
        <v>43</v>
      </c>
      <c r="Q11" s="97" t="s">
        <v>434</v>
      </c>
      <c r="S11" s="5"/>
    </row>
    <row r="12" spans="1:19" ht="76.5" customHeight="1" outlineLevel="1" x14ac:dyDescent="0.25">
      <c r="A12" s="251"/>
      <c r="B12" s="156" t="s">
        <v>23</v>
      </c>
      <c r="C12" s="248"/>
      <c r="D12" s="135" t="s">
        <v>418</v>
      </c>
      <c r="E12" s="263"/>
      <c r="F12" s="135" t="s">
        <v>435</v>
      </c>
      <c r="G12" s="263"/>
      <c r="H12" s="255"/>
      <c r="I12" s="135" t="s">
        <v>2</v>
      </c>
      <c r="J12" s="152"/>
      <c r="K12" s="152"/>
      <c r="L12" s="127" t="s">
        <v>42</v>
      </c>
      <c r="M12" s="152"/>
      <c r="N12" s="152"/>
      <c r="O12" s="152">
        <f t="shared" si="0"/>
        <v>0</v>
      </c>
      <c r="P12" s="248"/>
      <c r="Q12" s="146" t="s">
        <v>434</v>
      </c>
      <c r="S12" s="5"/>
    </row>
    <row r="13" spans="1:19" ht="76.5" customHeight="1" outlineLevel="1" x14ac:dyDescent="0.25">
      <c r="A13" s="250">
        <v>6</v>
      </c>
      <c r="B13" s="156" t="s">
        <v>23</v>
      </c>
      <c r="C13" s="247" t="s">
        <v>44</v>
      </c>
      <c r="D13" s="135" t="s">
        <v>25</v>
      </c>
      <c r="E13" s="262" t="s">
        <v>449</v>
      </c>
      <c r="F13" s="135" t="s">
        <v>433</v>
      </c>
      <c r="G13" s="262" t="s">
        <v>292</v>
      </c>
      <c r="H13" s="254" t="s">
        <v>45</v>
      </c>
      <c r="I13" s="131" t="s">
        <v>27</v>
      </c>
      <c r="J13" s="152">
        <v>83000000</v>
      </c>
      <c r="K13" s="152"/>
      <c r="L13" s="127" t="s">
        <v>419</v>
      </c>
      <c r="M13" s="152"/>
      <c r="N13" s="152">
        <f>1930326.40003794+103750+103750+103750+103750+46481037.5/448.01+43097750/415.4+42752262.5/412.07</f>
        <v>2656576.4000379397</v>
      </c>
      <c r="O13" s="152">
        <f t="shared" si="0"/>
        <v>0</v>
      </c>
      <c r="P13" s="247" t="s">
        <v>33</v>
      </c>
      <c r="Q13" s="97" t="s">
        <v>434</v>
      </c>
      <c r="S13" s="5"/>
    </row>
    <row r="14" spans="1:19" ht="76.5" customHeight="1" outlineLevel="1" x14ac:dyDescent="0.25">
      <c r="A14" s="251"/>
      <c r="B14" s="156" t="s">
        <v>23</v>
      </c>
      <c r="C14" s="248"/>
      <c r="D14" s="135" t="s">
        <v>418</v>
      </c>
      <c r="E14" s="263"/>
      <c r="F14" s="135" t="s">
        <v>435</v>
      </c>
      <c r="G14" s="263"/>
      <c r="H14" s="255"/>
      <c r="I14" s="135" t="s">
        <v>2</v>
      </c>
      <c r="J14" s="152"/>
      <c r="K14" s="152"/>
      <c r="L14" s="127" t="s">
        <v>419</v>
      </c>
      <c r="M14" s="152"/>
      <c r="N14" s="152"/>
      <c r="O14" s="152">
        <f t="shared" si="0"/>
        <v>0</v>
      </c>
      <c r="P14" s="248"/>
      <c r="Q14" s="146" t="s">
        <v>434</v>
      </c>
      <c r="R14" s="8"/>
      <c r="S14" s="5"/>
    </row>
    <row r="15" spans="1:19" ht="96.75" customHeight="1" outlineLevel="1" x14ac:dyDescent="0.25">
      <c r="A15" s="250">
        <v>7</v>
      </c>
      <c r="B15" s="156" t="s">
        <v>23</v>
      </c>
      <c r="C15" s="247" t="s">
        <v>46</v>
      </c>
      <c r="D15" s="254" t="s">
        <v>47</v>
      </c>
      <c r="E15" s="262" t="s">
        <v>450</v>
      </c>
      <c r="F15" s="135" t="s">
        <v>433</v>
      </c>
      <c r="G15" s="262" t="s">
        <v>293</v>
      </c>
      <c r="H15" s="254" t="s">
        <v>48</v>
      </c>
      <c r="I15" s="131" t="s">
        <v>49</v>
      </c>
      <c r="J15" s="152">
        <f>35500000-1434414.8</f>
        <v>34065585.200000003</v>
      </c>
      <c r="K15" s="152">
        <v>34065585.200000003</v>
      </c>
      <c r="L15" s="144" t="s">
        <v>351</v>
      </c>
      <c r="M15" s="152">
        <f>3406558.5+438685248.4/386.33+457603003.3/402.99+440229555/387.69+440172817.8/387.64</f>
        <v>7948636.6001575328</v>
      </c>
      <c r="N15" s="152">
        <f>6927866.15+372600334/386.33+433310604.9/402.99+419066992.3/387.69+399479184.6/387.64</f>
        <v>11079041.449912922</v>
      </c>
      <c r="O15" s="152">
        <f t="shared" si="0"/>
        <v>26116948.59984247</v>
      </c>
      <c r="P15" s="247" t="s">
        <v>50</v>
      </c>
      <c r="Q15" s="97" t="s">
        <v>434</v>
      </c>
      <c r="R15" s="8"/>
      <c r="S15" s="5"/>
    </row>
    <row r="16" spans="1:19" ht="81.75" customHeight="1" outlineLevel="1" x14ac:dyDescent="0.25">
      <c r="A16" s="251"/>
      <c r="B16" s="156" t="s">
        <v>23</v>
      </c>
      <c r="C16" s="248"/>
      <c r="D16" s="255"/>
      <c r="E16" s="263"/>
      <c r="F16" s="135" t="s">
        <v>435</v>
      </c>
      <c r="G16" s="263"/>
      <c r="H16" s="255"/>
      <c r="I16" s="135" t="s">
        <v>2</v>
      </c>
      <c r="J16" s="152"/>
      <c r="K16" s="152">
        <v>3680136115.8000002</v>
      </c>
      <c r="L16" s="144" t="s">
        <v>351</v>
      </c>
      <c r="M16" s="152">
        <f>387003402.1+121967878.3+121967878.3+121967878.3+121967878.2</f>
        <v>874874915.20000005</v>
      </c>
      <c r="N16" s="152">
        <f>743758864.24+103594252.5+115493072.7+116104685.6+110692047.4</f>
        <v>1189642922.4400001</v>
      </c>
      <c r="O16" s="152">
        <f t="shared" si="0"/>
        <v>2805261200.6000004</v>
      </c>
      <c r="P16" s="248"/>
      <c r="Q16" s="146" t="s">
        <v>434</v>
      </c>
      <c r="R16" s="8"/>
      <c r="S16" s="5"/>
    </row>
    <row r="17" spans="1:18" s="5" customFormat="1" ht="66.75" customHeight="1" outlineLevel="1" x14ac:dyDescent="0.25">
      <c r="A17" s="250">
        <v>8</v>
      </c>
      <c r="B17" s="156" t="s">
        <v>23</v>
      </c>
      <c r="C17" s="247" t="s">
        <v>51</v>
      </c>
      <c r="D17" s="254" t="s">
        <v>47</v>
      </c>
      <c r="E17" s="262" t="s">
        <v>451</v>
      </c>
      <c r="F17" s="135" t="s">
        <v>433</v>
      </c>
      <c r="G17" s="262" t="s">
        <v>294</v>
      </c>
      <c r="H17" s="262" t="s">
        <v>52</v>
      </c>
      <c r="I17" s="131" t="s">
        <v>49</v>
      </c>
      <c r="J17" s="28">
        <f>40000000-2500000-1500000</f>
        <v>36000000</v>
      </c>
      <c r="K17" s="152">
        <v>25459684.080000002</v>
      </c>
      <c r="L17" s="151" t="s">
        <v>351</v>
      </c>
      <c r="M17" s="152">
        <f>329635002.4/388.42</f>
        <v>848656.10009783215</v>
      </c>
      <c r="N17" s="152">
        <f>4091306.45123489+373977422.6/403.57+376544951.9/388.42</f>
        <v>5987406.7512976453</v>
      </c>
      <c r="O17" s="152">
        <f t="shared" si="0"/>
        <v>24611027.979902171</v>
      </c>
      <c r="P17" s="247" t="s">
        <v>50</v>
      </c>
      <c r="Q17" s="97" t="s">
        <v>434</v>
      </c>
      <c r="R17" s="8"/>
    </row>
    <row r="18" spans="1:18" s="5" customFormat="1" ht="58.5" customHeight="1" outlineLevel="1" x14ac:dyDescent="0.25">
      <c r="A18" s="251"/>
      <c r="B18" s="156" t="s">
        <v>23</v>
      </c>
      <c r="C18" s="248"/>
      <c r="D18" s="255"/>
      <c r="E18" s="263"/>
      <c r="F18" s="135" t="s">
        <v>435</v>
      </c>
      <c r="G18" s="263"/>
      <c r="H18" s="263"/>
      <c r="I18" s="135" t="s">
        <v>2</v>
      </c>
      <c r="J18" s="28"/>
      <c r="K18" s="152">
        <v>1298785286.0000002</v>
      </c>
      <c r="L18" s="151" t="s">
        <v>351</v>
      </c>
      <c r="M18" s="152">
        <f>563212.2+43274069.1</f>
        <v>43837281.300000004</v>
      </c>
      <c r="N18" s="152">
        <f>165583419.3+41681454.8+49409773.1</f>
        <v>256674647.20000002</v>
      </c>
      <c r="O18" s="152">
        <f t="shared" si="0"/>
        <v>1254948004.7000003</v>
      </c>
      <c r="P18" s="248"/>
      <c r="Q18" s="146" t="s">
        <v>434</v>
      </c>
      <c r="R18" s="8"/>
    </row>
    <row r="19" spans="1:18" s="5" customFormat="1" ht="70.5" customHeight="1" outlineLevel="1" x14ac:dyDescent="0.25">
      <c r="A19" s="250">
        <v>9</v>
      </c>
      <c r="B19" s="161" t="s">
        <v>23</v>
      </c>
      <c r="C19" s="247" t="s">
        <v>53</v>
      </c>
      <c r="D19" s="254" t="s">
        <v>47</v>
      </c>
      <c r="E19" s="270" t="s">
        <v>443</v>
      </c>
      <c r="F19" s="135" t="s">
        <v>433</v>
      </c>
      <c r="G19" s="271" t="s">
        <v>295</v>
      </c>
      <c r="H19" s="262" t="s">
        <v>54</v>
      </c>
      <c r="I19" s="131" t="s">
        <v>49</v>
      </c>
      <c r="J19" s="28">
        <v>23194486</v>
      </c>
      <c r="K19" s="152">
        <v>16458126.98</v>
      </c>
      <c r="L19" s="127" t="s">
        <v>351</v>
      </c>
      <c r="M19" s="152">
        <v>0</v>
      </c>
      <c r="N19" s="152">
        <f>1316813.632+122778919.2/386.33+153358408.7/402.99+182294474.3/387.69+212998140.2/387.64</f>
        <v>3034854.3323239107</v>
      </c>
      <c r="O19" s="152">
        <f t="shared" si="0"/>
        <v>16458126.98</v>
      </c>
      <c r="P19" s="247" t="s">
        <v>50</v>
      </c>
      <c r="Q19" s="97" t="s">
        <v>434</v>
      </c>
      <c r="R19" s="8"/>
    </row>
    <row r="20" spans="1:18" s="5" customFormat="1" ht="66.75" customHeight="1" outlineLevel="1" x14ac:dyDescent="0.25">
      <c r="A20" s="251"/>
      <c r="B20" s="161" t="s">
        <v>23</v>
      </c>
      <c r="C20" s="249"/>
      <c r="D20" s="269"/>
      <c r="E20" s="270"/>
      <c r="F20" s="135" t="s">
        <v>435</v>
      </c>
      <c r="G20" s="271"/>
      <c r="H20" s="263"/>
      <c r="I20" s="135" t="s">
        <v>2</v>
      </c>
      <c r="J20" s="28"/>
      <c r="K20" s="152">
        <v>1973431541.8999999</v>
      </c>
      <c r="L20" s="127" t="s">
        <v>351</v>
      </c>
      <c r="M20" s="152">
        <v>91463799.799999997</v>
      </c>
      <c r="N20" s="152">
        <f>119885553.7+36155098.5+43333756.7+53344969.4+61110243.5</f>
        <v>313829621.79999995</v>
      </c>
      <c r="O20" s="152">
        <f t="shared" si="0"/>
        <v>1881967742.0999999</v>
      </c>
      <c r="P20" s="248"/>
      <c r="Q20" s="97" t="s">
        <v>434</v>
      </c>
      <c r="R20" s="8"/>
    </row>
    <row r="21" spans="1:18" s="5" customFormat="1" ht="48" customHeight="1" outlineLevel="1" x14ac:dyDescent="0.25">
      <c r="A21" s="250">
        <v>10</v>
      </c>
      <c r="B21" s="161" t="s">
        <v>55</v>
      </c>
      <c r="C21" s="249"/>
      <c r="D21" s="269"/>
      <c r="E21" s="270"/>
      <c r="F21" s="135" t="s">
        <v>433</v>
      </c>
      <c r="G21" s="262" t="s">
        <v>296</v>
      </c>
      <c r="H21" s="262" t="s">
        <v>54</v>
      </c>
      <c r="I21" s="131" t="s">
        <v>49</v>
      </c>
      <c r="J21" s="152">
        <v>16662617.070000002</v>
      </c>
      <c r="K21" s="152">
        <v>16662617.070000002</v>
      </c>
      <c r="L21" s="127" t="s">
        <v>351</v>
      </c>
      <c r="M21" s="152"/>
      <c r="N21" s="152">
        <f>2194958+182027405/386.38+218562808/403.19+223111756.9/387.69+221137804.8/387.64</f>
        <v>4354113.9020888004</v>
      </c>
      <c r="O21" s="152">
        <f t="shared" si="0"/>
        <v>16662617.070000002</v>
      </c>
      <c r="P21" s="247" t="s">
        <v>50</v>
      </c>
      <c r="Q21" s="97" t="s">
        <v>434</v>
      </c>
      <c r="R21" s="8"/>
    </row>
    <row r="22" spans="1:18" s="5" customFormat="1" ht="54.75" customHeight="1" outlineLevel="1" x14ac:dyDescent="0.25">
      <c r="A22" s="251"/>
      <c r="B22" s="161" t="s">
        <v>55</v>
      </c>
      <c r="C22" s="248"/>
      <c r="D22" s="255"/>
      <c r="E22" s="270"/>
      <c r="F22" s="135" t="s">
        <v>435</v>
      </c>
      <c r="G22" s="263"/>
      <c r="H22" s="263"/>
      <c r="I22" s="131" t="s">
        <v>2</v>
      </c>
      <c r="J22" s="33"/>
      <c r="K22" s="152">
        <v>2003005775.2</v>
      </c>
      <c r="L22" s="127" t="s">
        <v>351</v>
      </c>
      <c r="M22" s="152"/>
      <c r="N22" s="152">
        <f>238604865.8+56631905+65163658.9+69156989.1+68598623.2</f>
        <v>498156041.99999994</v>
      </c>
      <c r="O22" s="152">
        <f t="shared" si="0"/>
        <v>2003005775.2</v>
      </c>
      <c r="P22" s="248"/>
      <c r="Q22" s="97" t="s">
        <v>434</v>
      </c>
      <c r="R22" s="8"/>
    </row>
    <row r="23" spans="1:18" s="5" customFormat="1" ht="54.75" customHeight="1" outlineLevel="1" x14ac:dyDescent="0.25">
      <c r="A23" s="171"/>
      <c r="B23" s="156" t="s">
        <v>23</v>
      </c>
      <c r="C23" s="247" t="s">
        <v>498</v>
      </c>
      <c r="D23" s="254" t="s">
        <v>47</v>
      </c>
      <c r="E23" s="267" t="s">
        <v>499</v>
      </c>
      <c r="F23" s="135" t="s">
        <v>433</v>
      </c>
      <c r="G23" s="176"/>
      <c r="H23" s="267" t="s">
        <v>500</v>
      </c>
      <c r="I23" s="131" t="s">
        <v>49</v>
      </c>
      <c r="J23" s="28">
        <v>40000000</v>
      </c>
      <c r="K23" s="152"/>
      <c r="L23" s="127"/>
      <c r="M23" s="152"/>
      <c r="N23" s="152"/>
      <c r="O23" s="152">
        <f t="shared" si="0"/>
        <v>0</v>
      </c>
      <c r="P23" s="247" t="s">
        <v>50</v>
      </c>
      <c r="Q23" s="97" t="s">
        <v>434</v>
      </c>
      <c r="R23" s="8"/>
    </row>
    <row r="24" spans="1:18" s="5" customFormat="1" ht="54.75" customHeight="1" outlineLevel="1" x14ac:dyDescent="0.25">
      <c r="A24" s="171"/>
      <c r="B24" s="156" t="s">
        <v>23</v>
      </c>
      <c r="C24" s="248"/>
      <c r="D24" s="255"/>
      <c r="E24" s="268"/>
      <c r="F24" s="135" t="s">
        <v>435</v>
      </c>
      <c r="G24" s="176"/>
      <c r="H24" s="268"/>
      <c r="I24" s="131" t="s">
        <v>2</v>
      </c>
      <c r="J24" s="28"/>
      <c r="K24" s="152"/>
      <c r="L24" s="127"/>
      <c r="M24" s="152"/>
      <c r="N24" s="152"/>
      <c r="O24" s="152">
        <f t="shared" si="0"/>
        <v>0</v>
      </c>
      <c r="P24" s="248"/>
      <c r="Q24" s="97" t="s">
        <v>434</v>
      </c>
      <c r="R24" s="8"/>
    </row>
    <row r="25" spans="1:18" s="5" customFormat="1" ht="57.75" customHeight="1" outlineLevel="1" x14ac:dyDescent="0.25">
      <c r="A25" s="250">
        <v>11</v>
      </c>
      <c r="B25" s="161" t="s">
        <v>23</v>
      </c>
      <c r="C25" s="247" t="s">
        <v>56</v>
      </c>
      <c r="D25" s="254" t="s">
        <v>57</v>
      </c>
      <c r="E25" s="270" t="s">
        <v>452</v>
      </c>
      <c r="F25" s="135" t="s">
        <v>433</v>
      </c>
      <c r="G25" s="262" t="s">
        <v>294</v>
      </c>
      <c r="H25" s="254" t="s">
        <v>58</v>
      </c>
      <c r="I25" s="131" t="s">
        <v>59</v>
      </c>
      <c r="J25" s="29">
        <v>13988153</v>
      </c>
      <c r="K25" s="152">
        <v>8262785.6411363389</v>
      </c>
      <c r="L25" s="127">
        <v>3.1399999999999997E-2</v>
      </c>
      <c r="M25" s="152">
        <f>1430873.60020494+107795234.9/520.68+109739226/530.07+105995907.4/511.99+105780752.2/510.95</f>
        <v>2258984.1004025689</v>
      </c>
      <c r="N25" s="152">
        <f>1219413.93+55848657.5/520.68+55104222/530.07+51579050.2/511.99+49822785.6/510.95</f>
        <v>1628883.8301780142</v>
      </c>
      <c r="O25" s="152">
        <f t="shared" si="0"/>
        <v>6003801.5407337695</v>
      </c>
      <c r="P25" s="247" t="s">
        <v>50</v>
      </c>
      <c r="Q25" s="97" t="s">
        <v>434</v>
      </c>
      <c r="R25" s="8"/>
    </row>
    <row r="26" spans="1:18" s="5" customFormat="1" ht="59.25" customHeight="1" outlineLevel="1" x14ac:dyDescent="0.25">
      <c r="A26" s="251"/>
      <c r="B26" s="161" t="s">
        <v>23</v>
      </c>
      <c r="C26" s="249"/>
      <c r="D26" s="269"/>
      <c r="E26" s="270"/>
      <c r="F26" s="135" t="s">
        <v>435</v>
      </c>
      <c r="G26" s="263"/>
      <c r="H26" s="255"/>
      <c r="I26" s="135" t="s">
        <v>2</v>
      </c>
      <c r="J26" s="30"/>
      <c r="K26" s="152">
        <v>1194787815</v>
      </c>
      <c r="L26" s="127">
        <v>3.1399999999999997E-2</v>
      </c>
      <c r="M26" s="152">
        <f>209123295.3+29868621.8+29868621.8+29868621.8+29868621.8</f>
        <v>328597782.50000006</v>
      </c>
      <c r="N26" s="152">
        <f>177460224.6+15474933+14998180+14534453+14068120.9</f>
        <v>236535911.5</v>
      </c>
      <c r="O26" s="152">
        <f t="shared" si="0"/>
        <v>866190032.5</v>
      </c>
      <c r="P26" s="248"/>
      <c r="Q26" s="97" t="s">
        <v>434</v>
      </c>
      <c r="R26" s="8"/>
    </row>
    <row r="27" spans="1:18" s="5" customFormat="1" ht="51.75" customHeight="1" outlineLevel="1" x14ac:dyDescent="0.25">
      <c r="A27" s="250">
        <v>12</v>
      </c>
      <c r="B27" s="161" t="s">
        <v>60</v>
      </c>
      <c r="C27" s="249"/>
      <c r="D27" s="269"/>
      <c r="E27" s="270"/>
      <c r="F27" s="135" t="s">
        <v>433</v>
      </c>
      <c r="G27" s="262" t="s">
        <v>297</v>
      </c>
      <c r="H27" s="254" t="s">
        <v>58</v>
      </c>
      <c r="I27" s="131" t="s">
        <v>59</v>
      </c>
      <c r="J27" s="29">
        <v>10098535</v>
      </c>
      <c r="K27" s="152">
        <v>10121386.37101347</v>
      </c>
      <c r="L27" s="127">
        <v>3.1399999999999997E-2</v>
      </c>
      <c r="M27" s="152">
        <f>1520990.1+136750579/520.29+138244588/530.59+133398381/511.99+133127359/510.95</f>
        <v>2565471.7050314122</v>
      </c>
      <c r="N27" s="152">
        <f>832426.027338+83294453/525+70252782/520.29+69454072/530.59+64924992/511.99+62703018/510.95</f>
        <v>1506535.6319686701</v>
      </c>
      <c r="O27" s="152">
        <f t="shared" si="0"/>
        <v>7555914.6659820583</v>
      </c>
      <c r="P27" s="247" t="s">
        <v>50</v>
      </c>
      <c r="Q27" s="97" t="s">
        <v>434</v>
      </c>
      <c r="R27" s="8"/>
    </row>
    <row r="28" spans="1:18" s="5" customFormat="1" ht="47.25" customHeight="1" outlineLevel="1" x14ac:dyDescent="0.25">
      <c r="A28" s="251"/>
      <c r="B28" s="161" t="s">
        <v>60</v>
      </c>
      <c r="C28" s="248"/>
      <c r="D28" s="255"/>
      <c r="E28" s="270"/>
      <c r="F28" s="135" t="s">
        <v>435</v>
      </c>
      <c r="G28" s="263"/>
      <c r="H28" s="255"/>
      <c r="I28" s="135" t="s">
        <v>2</v>
      </c>
      <c r="J28" s="30"/>
      <c r="K28" s="152">
        <v>794162455.89999998</v>
      </c>
      <c r="L28" s="127">
        <v>3.1399999999999997E-2</v>
      </c>
      <c r="M28" s="152">
        <f>123592049.7+20623615+20310837+20310837+20310838</f>
        <v>205148176.69999999</v>
      </c>
      <c r="N28" s="152">
        <f>78534680.8+10527955+10204165+9885285+9566405</f>
        <v>118718490.8</v>
      </c>
      <c r="O28" s="152">
        <f t="shared" si="0"/>
        <v>589014279.20000005</v>
      </c>
      <c r="P28" s="248"/>
      <c r="Q28" s="97" t="s">
        <v>434</v>
      </c>
      <c r="R28" s="8"/>
    </row>
    <row r="29" spans="1:18" s="5" customFormat="1" ht="48" customHeight="1" outlineLevel="1" x14ac:dyDescent="0.25">
      <c r="A29" s="129">
        <v>13</v>
      </c>
      <c r="B29" s="136" t="s">
        <v>23</v>
      </c>
      <c r="C29" s="247" t="s">
        <v>61</v>
      </c>
      <c r="D29" s="254" t="s">
        <v>62</v>
      </c>
      <c r="E29" s="267" t="s">
        <v>453</v>
      </c>
      <c r="F29" s="135" t="s">
        <v>433</v>
      </c>
      <c r="G29" s="134" t="s">
        <v>298</v>
      </c>
      <c r="H29" s="135" t="s">
        <v>63</v>
      </c>
      <c r="I29" s="131" t="s">
        <v>49</v>
      </c>
      <c r="J29" s="152">
        <v>19600000</v>
      </c>
      <c r="K29" s="152">
        <v>19419334.870000001</v>
      </c>
      <c r="L29" s="153">
        <v>5.0000000000000001E-3</v>
      </c>
      <c r="M29" s="152">
        <f>9716960.66852489+189584407.5/488.5+172026989.7/443.26+153375144/395.2+150045288.9/386.62+156421689.8/403.05+150324717.3/387.34+155746404.5/401.31</f>
        <v>12433625.668773536</v>
      </c>
      <c r="N29" s="152">
        <f>1129921.93024286+16077756.3/488.5+14096288.6/443.26+12233850.7/395.2+11546870.2/386.62+11574265.9/403.05+10860006.5/387.34+10861254.5/401.31</f>
        <v>1339276.7301463305</v>
      </c>
      <c r="O29" s="152">
        <f t="shared" si="0"/>
        <v>6985709.2012264654</v>
      </c>
      <c r="P29" s="84" t="s">
        <v>50</v>
      </c>
      <c r="Q29" s="97" t="s">
        <v>434</v>
      </c>
      <c r="R29" s="8"/>
    </row>
    <row r="30" spans="1:18" s="5" customFormat="1" ht="60" customHeight="1" outlineLevel="1" x14ac:dyDescent="0.25">
      <c r="A30" s="129">
        <v>14</v>
      </c>
      <c r="B30" s="136" t="s">
        <v>60</v>
      </c>
      <c r="C30" s="248"/>
      <c r="D30" s="255"/>
      <c r="E30" s="268"/>
      <c r="F30" s="135" t="s">
        <v>433</v>
      </c>
      <c r="G30" s="134" t="s">
        <v>299</v>
      </c>
      <c r="H30" s="135" t="s">
        <v>64</v>
      </c>
      <c r="I30" s="131" t="s">
        <v>49</v>
      </c>
      <c r="J30" s="152">
        <v>297276.53999999998</v>
      </c>
      <c r="K30" s="152">
        <v>297276.53999999998</v>
      </c>
      <c r="L30" s="151" t="s">
        <v>65</v>
      </c>
      <c r="M30" s="152">
        <f>257638.543537781+4361667/440.15+3916234/395.2+3837157/387.22+3994520/403.1</f>
        <v>297276.54625526333</v>
      </c>
      <c r="N30" s="152">
        <f>229541.53251276+1912186/489.99+1556591/440.15+1259898/395.2+1094284/387.22+991707/403.1</f>
        <v>245454.73643449965</v>
      </c>
      <c r="O30" s="152">
        <f t="shared" si="0"/>
        <v>-6.255263346247375E-3</v>
      </c>
      <c r="P30" s="84" t="s">
        <v>50</v>
      </c>
      <c r="Q30" s="97" t="s">
        <v>434</v>
      </c>
      <c r="R30" s="8"/>
    </row>
    <row r="31" spans="1:18" s="5" customFormat="1" ht="51" customHeight="1" outlineLevel="1" x14ac:dyDescent="0.25">
      <c r="A31" s="129">
        <v>15</v>
      </c>
      <c r="B31" s="136" t="s">
        <v>60</v>
      </c>
      <c r="C31" s="252" t="s">
        <v>66</v>
      </c>
      <c r="D31" s="254" t="s">
        <v>67</v>
      </c>
      <c r="E31" s="267" t="s">
        <v>454</v>
      </c>
      <c r="F31" s="135" t="s">
        <v>433</v>
      </c>
      <c r="G31" s="134" t="s">
        <v>300</v>
      </c>
      <c r="H31" s="135" t="s">
        <v>68</v>
      </c>
      <c r="I31" s="135" t="s">
        <v>69</v>
      </c>
      <c r="J31" s="152">
        <v>1571940173.3299999</v>
      </c>
      <c r="K31" s="152">
        <v>1598519063</v>
      </c>
      <c r="L31" s="153">
        <v>1.7999999999999999E-2</v>
      </c>
      <c r="M31" s="152">
        <f>1030178646.5+123394332/3.026+109815247/2.693+110426917/2.708+107613234/2.639</f>
        <v>1193290784.6071591</v>
      </c>
      <c r="N31" s="152">
        <f>226837831.925937+13873556/3.026+11211247/2.693+10505503/2.708+9205948/2.639</f>
        <v>242953578.05287489</v>
      </c>
      <c r="O31" s="152">
        <f t="shared" si="0"/>
        <v>405228278.39284086</v>
      </c>
      <c r="P31" s="84" t="s">
        <v>50</v>
      </c>
      <c r="Q31" s="97" t="s">
        <v>434</v>
      </c>
      <c r="R31" s="8"/>
    </row>
    <row r="32" spans="1:18" s="5" customFormat="1" ht="41.25" customHeight="1" outlineLevel="1" x14ac:dyDescent="0.25">
      <c r="A32" s="129">
        <v>16</v>
      </c>
      <c r="B32" s="130" t="s">
        <v>70</v>
      </c>
      <c r="C32" s="253"/>
      <c r="D32" s="255"/>
      <c r="E32" s="268"/>
      <c r="F32" s="135" t="s">
        <v>433</v>
      </c>
      <c r="G32" s="134" t="s">
        <v>301</v>
      </c>
      <c r="H32" s="135" t="s">
        <v>68</v>
      </c>
      <c r="I32" s="135" t="s">
        <v>69</v>
      </c>
      <c r="J32" s="152">
        <v>3796371795.6700001</v>
      </c>
      <c r="K32" s="152">
        <v>3861444249</v>
      </c>
      <c r="L32" s="153">
        <v>1.7999999999999999E-2</v>
      </c>
      <c r="M32" s="152">
        <f>2513837447.56+291897058.6/3.026+259774877.3/2.693+261800600/2.714+254469412/2.638</f>
        <v>2899689474.61869</v>
      </c>
      <c r="N32" s="152">
        <f>553224853.256799+32762341/3.026+26475306.9/2.693+24863667/2.714+21767387/2.638</f>
        <v>591295693.63595247</v>
      </c>
      <c r="O32" s="152">
        <f t="shared" si="0"/>
        <v>961754774.38130999</v>
      </c>
      <c r="P32" s="84" t="s">
        <v>50</v>
      </c>
      <c r="Q32" s="97" t="s">
        <v>434</v>
      </c>
      <c r="R32" s="8"/>
    </row>
    <row r="33" spans="1:19" s="5" customFormat="1" ht="69" customHeight="1" outlineLevel="1" x14ac:dyDescent="0.25">
      <c r="A33" s="250">
        <v>17</v>
      </c>
      <c r="B33" s="252" t="s">
        <v>71</v>
      </c>
      <c r="C33" s="247" t="s">
        <v>467</v>
      </c>
      <c r="D33" s="254" t="s">
        <v>62</v>
      </c>
      <c r="E33" s="267" t="s">
        <v>455</v>
      </c>
      <c r="F33" s="135" t="s">
        <v>433</v>
      </c>
      <c r="G33" s="262" t="s">
        <v>302</v>
      </c>
      <c r="H33" s="254" t="s">
        <v>72</v>
      </c>
      <c r="I33" s="131" t="s">
        <v>49</v>
      </c>
      <c r="J33" s="152">
        <v>4846628.13</v>
      </c>
      <c r="K33" s="152">
        <v>4737831.22</v>
      </c>
      <c r="L33" s="151">
        <v>7.4999999999999997E-3</v>
      </c>
      <c r="M33" s="152">
        <f>616176.07+18729201/386.44+19508050/402.51+18791723/387.73+18767489/387.23</f>
        <v>810040.07239122433</v>
      </c>
      <c r="N33" s="152">
        <f>353441.51+5923430/386.44+6198654/402.51+5835491.6/387.73+5820648/387.23</f>
        <v>414251.61169354402</v>
      </c>
      <c r="O33" s="152">
        <f t="shared" si="0"/>
        <v>3927791.1476087756</v>
      </c>
      <c r="P33" s="84" t="s">
        <v>73</v>
      </c>
      <c r="Q33" s="97" t="s">
        <v>434</v>
      </c>
      <c r="R33" s="8"/>
    </row>
    <row r="34" spans="1:19" s="5" customFormat="1" ht="69" customHeight="1" outlineLevel="1" x14ac:dyDescent="0.25">
      <c r="A34" s="251"/>
      <c r="B34" s="253"/>
      <c r="C34" s="248"/>
      <c r="D34" s="255"/>
      <c r="E34" s="268"/>
      <c r="F34" s="135" t="s">
        <v>435</v>
      </c>
      <c r="G34" s="263"/>
      <c r="H34" s="255"/>
      <c r="I34" s="135" t="s">
        <v>2</v>
      </c>
      <c r="J34" s="152">
        <v>1740568345.9000001</v>
      </c>
      <c r="K34" s="152">
        <v>1740568345.9000001</v>
      </c>
      <c r="L34" s="151">
        <v>7.4999999999999997E-3</v>
      </c>
      <c r="M34" s="152">
        <f>247100359+17402579+17402579+17402579+17402579</f>
        <v>316710675</v>
      </c>
      <c r="N34" s="152">
        <f>128165336.87+5554115.8+5580740.4+5454641.8+5448433.2</f>
        <v>150203268.06999999</v>
      </c>
      <c r="O34" s="152">
        <f t="shared" si="0"/>
        <v>1423857670.9000001</v>
      </c>
      <c r="P34" s="84" t="s">
        <v>73</v>
      </c>
      <c r="Q34" s="97" t="s">
        <v>434</v>
      </c>
      <c r="R34" s="8"/>
    </row>
    <row r="35" spans="1:19" ht="87" customHeight="1" outlineLevel="1" x14ac:dyDescent="0.25">
      <c r="A35" s="129">
        <v>18</v>
      </c>
      <c r="B35" s="136" t="s">
        <v>74</v>
      </c>
      <c r="C35" s="130" t="s">
        <v>75</v>
      </c>
      <c r="D35" s="135" t="s">
        <v>25</v>
      </c>
      <c r="E35" s="134" t="s">
        <v>456</v>
      </c>
      <c r="F35" s="135" t="s">
        <v>433</v>
      </c>
      <c r="G35" s="134" t="s">
        <v>303</v>
      </c>
      <c r="H35" s="134" t="s">
        <v>76</v>
      </c>
      <c r="I35" s="131" t="s">
        <v>27</v>
      </c>
      <c r="J35" s="31">
        <v>17895215.550000001</v>
      </c>
      <c r="K35" s="152">
        <v>17895215.550000001</v>
      </c>
      <c r="L35" s="151">
        <v>7.4999999999999997E-3</v>
      </c>
      <c r="M35" s="152">
        <v>9004359.9040168226</v>
      </c>
      <c r="N35" s="152">
        <f>2568161.28+12471869/415.04+3320320/414.34+16171473.8/438.74+15002335.6/420.29+14025433/406.4</f>
        <v>2713290.0956009617</v>
      </c>
      <c r="O35" s="152">
        <f t="shared" si="0"/>
        <v>8890855.6459831782</v>
      </c>
      <c r="P35" s="84" t="s">
        <v>50</v>
      </c>
      <c r="Q35" s="97" t="s">
        <v>434</v>
      </c>
      <c r="R35" s="8"/>
      <c r="S35" s="5"/>
    </row>
    <row r="36" spans="1:19" ht="55.5" customHeight="1" outlineLevel="1" x14ac:dyDescent="0.25">
      <c r="A36" s="250">
        <v>19</v>
      </c>
      <c r="B36" s="161" t="s">
        <v>77</v>
      </c>
      <c r="C36" s="247" t="s">
        <v>78</v>
      </c>
      <c r="D36" s="247" t="s">
        <v>268</v>
      </c>
      <c r="E36" s="247" t="s">
        <v>457</v>
      </c>
      <c r="F36" s="130" t="s">
        <v>433</v>
      </c>
      <c r="G36" s="247" t="s">
        <v>304</v>
      </c>
      <c r="H36" s="130" t="s">
        <v>79</v>
      </c>
      <c r="I36" s="131" t="s">
        <v>27</v>
      </c>
      <c r="J36" s="34">
        <v>22000000</v>
      </c>
      <c r="K36" s="152">
        <v>21247150.510000002</v>
      </c>
      <c r="L36" s="133" t="s">
        <v>80</v>
      </c>
      <c r="M36" s="152">
        <f>1047000+1047000+1047000+1047000+1047000+1047000+1047000+1047000+1048000</f>
        <v>9424000</v>
      </c>
      <c r="N36" s="152">
        <f>2375876.3+237670.2+221556.87</f>
        <v>2835103.37</v>
      </c>
      <c r="O36" s="152">
        <f>J36-M36</f>
        <v>12576000</v>
      </c>
      <c r="P36" s="247" t="s">
        <v>406</v>
      </c>
      <c r="Q36" s="97" t="s">
        <v>434</v>
      </c>
      <c r="R36" s="8"/>
      <c r="S36" s="5"/>
    </row>
    <row r="37" spans="1:19" ht="68.25" customHeight="1" outlineLevel="1" x14ac:dyDescent="0.25">
      <c r="A37" s="266"/>
      <c r="B37" s="161" t="s">
        <v>77</v>
      </c>
      <c r="C37" s="249"/>
      <c r="D37" s="249"/>
      <c r="E37" s="249"/>
      <c r="F37" s="130" t="s">
        <v>433</v>
      </c>
      <c r="G37" s="249"/>
      <c r="H37" s="130" t="s">
        <v>82</v>
      </c>
      <c r="I37" s="131" t="s">
        <v>27</v>
      </c>
      <c r="J37" s="34">
        <v>14500000</v>
      </c>
      <c r="K37" s="152">
        <v>14491281.059999999</v>
      </c>
      <c r="L37" s="133" t="s">
        <v>28</v>
      </c>
      <c r="M37" s="152">
        <f>241000+241000+241000+241000+241000+241000+241000+241000+241000</f>
        <v>2169000</v>
      </c>
      <c r="N37" s="152">
        <f>628643.7+48048.75+47190.19</f>
        <v>723882.6399999999</v>
      </c>
      <c r="O37" s="152">
        <f>J37-M37</f>
        <v>12331000</v>
      </c>
      <c r="P37" s="249"/>
      <c r="Q37" s="97" t="s">
        <v>434</v>
      </c>
      <c r="R37" s="8"/>
      <c r="S37" s="5"/>
    </row>
    <row r="38" spans="1:19" ht="62.25" customHeight="1" outlineLevel="1" x14ac:dyDescent="0.25">
      <c r="A38" s="251"/>
      <c r="B38" s="161" t="s">
        <v>77</v>
      </c>
      <c r="C38" s="248"/>
      <c r="D38" s="248"/>
      <c r="E38" s="248"/>
      <c r="F38" s="130" t="s">
        <v>433</v>
      </c>
      <c r="G38" s="248"/>
      <c r="H38" s="130" t="s">
        <v>83</v>
      </c>
      <c r="I38" s="131" t="s">
        <v>27</v>
      </c>
      <c r="J38" s="34">
        <v>14500000</v>
      </c>
      <c r="K38" s="152">
        <v>14500000.000000002</v>
      </c>
      <c r="L38" s="133" t="s">
        <v>84</v>
      </c>
      <c r="M38" s="152">
        <f>2519999.6+630000+630000+630000+630000+630000</f>
        <v>5669999.5999999996</v>
      </c>
      <c r="N38" s="152">
        <f>2336020+207340.05+195524.74</f>
        <v>2738884.79</v>
      </c>
      <c r="O38" s="152">
        <f>J38-M38</f>
        <v>8830000.4000000004</v>
      </c>
      <c r="P38" s="248"/>
      <c r="Q38" s="97" t="s">
        <v>434</v>
      </c>
      <c r="R38" s="8"/>
      <c r="S38" s="5"/>
    </row>
    <row r="39" spans="1:19" ht="94.5" customHeight="1" outlineLevel="1" x14ac:dyDescent="0.25">
      <c r="A39" s="129">
        <v>20</v>
      </c>
      <c r="B39" s="130" t="s">
        <v>85</v>
      </c>
      <c r="C39" s="136" t="s">
        <v>86</v>
      </c>
      <c r="D39" s="135" t="s">
        <v>67</v>
      </c>
      <c r="E39" s="135" t="s">
        <v>458</v>
      </c>
      <c r="F39" s="135" t="s">
        <v>433</v>
      </c>
      <c r="G39" s="134" t="s">
        <v>305</v>
      </c>
      <c r="H39" s="135" t="s">
        <v>87</v>
      </c>
      <c r="I39" s="135" t="s">
        <v>69</v>
      </c>
      <c r="J39" s="138">
        <v>26409000000</v>
      </c>
      <c r="K39" s="152">
        <v>26399286331</v>
      </c>
      <c r="L39" s="151">
        <v>7.4999999999999997E-3</v>
      </c>
      <c r="M39" s="152">
        <f>7357230331.16835+1131704010/2.615+1153775484/2.666+(500000000+500000000+175414184)/2.716</f>
        <v>8655552331.1683502</v>
      </c>
      <c r="N39" s="152">
        <f>2607354309.06995+188428717.2/2.615+185536580.8/2.666+186649331.7/2.716</f>
        <v>2817726935.8973589</v>
      </c>
      <c r="O39" s="132">
        <f t="shared" ref="O39:O50" si="1">K39-M39</f>
        <v>17743733999.83165</v>
      </c>
      <c r="P39" s="84" t="s">
        <v>88</v>
      </c>
      <c r="Q39" s="97" t="s">
        <v>434</v>
      </c>
      <c r="R39" s="8"/>
      <c r="S39" s="5"/>
    </row>
    <row r="40" spans="1:19" ht="86.25" customHeight="1" outlineLevel="1" x14ac:dyDescent="0.25">
      <c r="A40" s="129">
        <v>21</v>
      </c>
      <c r="B40" s="136" t="s">
        <v>23</v>
      </c>
      <c r="C40" s="130" t="s">
        <v>89</v>
      </c>
      <c r="D40" s="130" t="s">
        <v>90</v>
      </c>
      <c r="E40" s="130" t="s">
        <v>459</v>
      </c>
      <c r="F40" s="130" t="s">
        <v>433</v>
      </c>
      <c r="G40" s="134" t="s">
        <v>306</v>
      </c>
      <c r="H40" s="135" t="s">
        <v>91</v>
      </c>
      <c r="I40" s="131" t="s">
        <v>49</v>
      </c>
      <c r="J40" s="152">
        <v>8988290</v>
      </c>
      <c r="K40" s="152">
        <v>8988290</v>
      </c>
      <c r="L40" s="153">
        <v>5.0000000000000001E-3</v>
      </c>
      <c r="M40" s="152">
        <f>4199999.97+600000+600000+289644000/482.74+290820000/484.7+286458000/477.43+600000+600000+231939215.4/394.26</f>
        <v>8988289.9699999988</v>
      </c>
      <c r="N40" s="152">
        <f>838542.942447016+522591.6/394.26</f>
        <v>839868.44237092405</v>
      </c>
      <c r="O40" s="132">
        <f t="shared" si="1"/>
        <v>3.0000001192092896E-2</v>
      </c>
      <c r="P40" s="84" t="s">
        <v>73</v>
      </c>
      <c r="Q40" s="97" t="s">
        <v>434</v>
      </c>
      <c r="R40" s="8"/>
      <c r="S40" s="5"/>
    </row>
    <row r="41" spans="1:19" ht="86.25" customHeight="1" outlineLevel="1" x14ac:dyDescent="0.25">
      <c r="A41" s="129"/>
      <c r="B41" s="252" t="s">
        <v>23</v>
      </c>
      <c r="C41" s="130"/>
      <c r="D41" s="130"/>
      <c r="E41" s="260" t="s">
        <v>473</v>
      </c>
      <c r="F41" s="247" t="s">
        <v>408</v>
      </c>
      <c r="G41" s="134"/>
      <c r="H41" s="135" t="s">
        <v>493</v>
      </c>
      <c r="I41" s="50" t="s">
        <v>2</v>
      </c>
      <c r="J41" s="29">
        <v>1035000000</v>
      </c>
      <c r="K41" s="30">
        <f>1035000000-80500000</f>
        <v>954500000</v>
      </c>
      <c r="L41" s="154">
        <v>9.8613000000000006E-2</v>
      </c>
      <c r="M41" s="152"/>
      <c r="N41" s="152"/>
      <c r="O41" s="132">
        <f t="shared" si="1"/>
        <v>954500000</v>
      </c>
      <c r="P41" s="84" t="s">
        <v>73</v>
      </c>
      <c r="Q41" s="97" t="s">
        <v>434</v>
      </c>
      <c r="R41" s="8"/>
      <c r="S41" s="5"/>
    </row>
    <row r="42" spans="1:19" ht="86.25" customHeight="1" outlineLevel="1" x14ac:dyDescent="0.25">
      <c r="A42" s="129"/>
      <c r="B42" s="253"/>
      <c r="C42" s="130"/>
      <c r="D42" s="130"/>
      <c r="E42" s="261"/>
      <c r="F42" s="248"/>
      <c r="G42" s="134"/>
      <c r="H42" s="135"/>
      <c r="I42" s="50" t="s">
        <v>2</v>
      </c>
      <c r="J42" s="30">
        <v>1035000000</v>
      </c>
      <c r="K42" s="30"/>
      <c r="L42" s="153"/>
      <c r="M42" s="152"/>
      <c r="N42" s="152"/>
      <c r="O42" s="132">
        <f t="shared" si="1"/>
        <v>0</v>
      </c>
      <c r="P42" s="84" t="s">
        <v>73</v>
      </c>
      <c r="Q42" s="97" t="s">
        <v>434</v>
      </c>
      <c r="R42" s="8"/>
      <c r="S42" s="5"/>
    </row>
    <row r="43" spans="1:19" ht="73.5" customHeight="1" outlineLevel="1" x14ac:dyDescent="0.25">
      <c r="A43" s="129">
        <v>22</v>
      </c>
      <c r="B43" s="136" t="s">
        <v>92</v>
      </c>
      <c r="C43" s="130" t="s">
        <v>89</v>
      </c>
      <c r="D43" s="130" t="s">
        <v>93</v>
      </c>
      <c r="E43" s="130" t="s">
        <v>460</v>
      </c>
      <c r="F43" s="130" t="s">
        <v>433</v>
      </c>
      <c r="G43" s="35" t="s">
        <v>307</v>
      </c>
      <c r="H43" s="152" t="s">
        <v>94</v>
      </c>
      <c r="I43" s="32" t="s">
        <v>2</v>
      </c>
      <c r="J43" s="152">
        <v>1757100000</v>
      </c>
      <c r="K43" s="152">
        <v>1757100000</v>
      </c>
      <c r="L43" s="151">
        <v>7.4999999999999997E-3</v>
      </c>
      <c r="M43" s="152">
        <f>439275000+62753571.5+62753571.5+62753571.3+62753571.4+62753571.4+62753571.4+62753571.5+62753571.5+62753571.5+62753571.3</f>
        <v>1066810714.2999998</v>
      </c>
      <c r="N43" s="152">
        <f>303383430.5+3313904.4+3032802.7+3076644.3+2814884.5+2839384.2</f>
        <v>318461050.59999996</v>
      </c>
      <c r="O43" s="132">
        <f t="shared" si="1"/>
        <v>690289285.70000017</v>
      </c>
      <c r="P43" s="84" t="s">
        <v>73</v>
      </c>
      <c r="Q43" s="97" t="s">
        <v>434</v>
      </c>
      <c r="R43" s="8"/>
      <c r="S43" s="5"/>
    </row>
    <row r="44" spans="1:19" ht="82.5" customHeight="1" outlineLevel="1" x14ac:dyDescent="0.25">
      <c r="A44" s="159">
        <v>23</v>
      </c>
      <c r="B44" s="136" t="s">
        <v>92</v>
      </c>
      <c r="C44" s="130" t="s">
        <v>95</v>
      </c>
      <c r="D44" s="130" t="s">
        <v>418</v>
      </c>
      <c r="E44" s="35" t="s">
        <v>444</v>
      </c>
      <c r="F44" s="130" t="s">
        <v>408</v>
      </c>
      <c r="G44" s="35"/>
      <c r="H44" s="152" t="s">
        <v>96</v>
      </c>
      <c r="I44" s="32" t="s">
        <v>2</v>
      </c>
      <c r="J44" s="152">
        <v>18700000000</v>
      </c>
      <c r="K44" s="152">
        <v>18700000000</v>
      </c>
      <c r="L44" s="127">
        <v>7.4999999999999997E-2</v>
      </c>
      <c r="M44" s="152">
        <f>890476190.5+890476190.5+890476190.5+890476190.5+890476190.5+890476190.5</f>
        <v>5342857143</v>
      </c>
      <c r="N44" s="152">
        <f>1333335616.4+703171232.9+699328767.1+670052837.5+632909002+602718199.6+569233855.2+535749511</f>
        <v>5746499021.6999998</v>
      </c>
      <c r="O44" s="132">
        <f>K44-M44</f>
        <v>13357142857</v>
      </c>
      <c r="P44" s="84" t="s">
        <v>73</v>
      </c>
      <c r="Q44" s="97" t="s">
        <v>434</v>
      </c>
      <c r="R44" s="8"/>
      <c r="S44" s="5"/>
    </row>
    <row r="45" spans="1:19" ht="63.75" customHeight="1" outlineLevel="1" x14ac:dyDescent="0.25">
      <c r="A45" s="159">
        <v>24</v>
      </c>
      <c r="B45" s="136" t="s">
        <v>92</v>
      </c>
      <c r="C45" s="156" t="s">
        <v>269</v>
      </c>
      <c r="D45" s="130" t="s">
        <v>418</v>
      </c>
      <c r="E45" s="35" t="s">
        <v>445</v>
      </c>
      <c r="F45" s="130" t="s">
        <v>408</v>
      </c>
      <c r="G45" s="35"/>
      <c r="H45" s="152" t="s">
        <v>258</v>
      </c>
      <c r="I45" s="32" t="s">
        <v>2</v>
      </c>
      <c r="J45" s="152">
        <v>25000000000</v>
      </c>
      <c r="K45" s="152">
        <v>25000000000</v>
      </c>
      <c r="L45" s="127">
        <v>0.09</v>
      </c>
      <c r="M45" s="152">
        <f>1190476190.4+1190476190.5+1190476190.5+1190476190.5</f>
        <v>4761904761.8999996</v>
      </c>
      <c r="N45" s="152">
        <f>1171232876.7+1121917808.3+1128082191.8+1121917808.2+1074363992.2+1020645792.6+966927593</f>
        <v>7605088062.8000002</v>
      </c>
      <c r="O45" s="132">
        <f t="shared" si="1"/>
        <v>20238095238.099998</v>
      </c>
      <c r="P45" s="84" t="s">
        <v>73</v>
      </c>
      <c r="Q45" s="97" t="s">
        <v>434</v>
      </c>
      <c r="R45" s="8"/>
      <c r="S45" s="5"/>
    </row>
    <row r="46" spans="1:19" ht="82.5" customHeight="1" outlineLevel="1" x14ac:dyDescent="0.25">
      <c r="A46" s="159"/>
      <c r="B46" s="136" t="s">
        <v>92</v>
      </c>
      <c r="C46" s="130" t="s">
        <v>494</v>
      </c>
      <c r="D46" s="130" t="s">
        <v>418</v>
      </c>
      <c r="E46" s="35" t="s">
        <v>495</v>
      </c>
      <c r="F46" s="130" t="s">
        <v>408</v>
      </c>
      <c r="G46" s="35"/>
      <c r="H46" s="152" t="s">
        <v>474</v>
      </c>
      <c r="I46" s="32" t="s">
        <v>2</v>
      </c>
      <c r="J46" s="152">
        <v>5965000000</v>
      </c>
      <c r="K46" s="152">
        <v>5965000000</v>
      </c>
      <c r="L46" s="155">
        <v>9.8608000000000001E-2</v>
      </c>
      <c r="M46" s="152"/>
      <c r="N46" s="152">
        <v>24172468</v>
      </c>
      <c r="O46" s="132">
        <f>K46-M46</f>
        <v>5965000000</v>
      </c>
      <c r="P46" s="84" t="s">
        <v>73</v>
      </c>
      <c r="Q46" s="97" t="s">
        <v>434</v>
      </c>
      <c r="R46" s="8"/>
      <c r="S46" s="5"/>
    </row>
    <row r="47" spans="1:19" ht="78.75" customHeight="1" outlineLevel="1" x14ac:dyDescent="0.25">
      <c r="A47" s="250">
        <v>25</v>
      </c>
      <c r="B47" s="161" t="s">
        <v>92</v>
      </c>
      <c r="C47" s="247" t="s">
        <v>97</v>
      </c>
      <c r="D47" s="135" t="s">
        <v>420</v>
      </c>
      <c r="E47" s="247" t="s">
        <v>461</v>
      </c>
      <c r="F47" s="135" t="s">
        <v>433</v>
      </c>
      <c r="G47" s="262" t="s">
        <v>308</v>
      </c>
      <c r="H47" s="264" t="s">
        <v>99</v>
      </c>
      <c r="I47" s="131" t="s">
        <v>49</v>
      </c>
      <c r="J47" s="29">
        <v>270000000</v>
      </c>
      <c r="K47" s="152">
        <v>170663629.05000004</v>
      </c>
      <c r="L47" s="128">
        <v>0.03</v>
      </c>
      <c r="M47" s="152">
        <f>51199088.7002228+3370009369.8/394.93+3295429324.9/386.19+3461143748.2/405.61+3310959715/388.01+(1000000000+1424393078.3+962000000)/396.85</f>
        <v>93864996.000313431</v>
      </c>
      <c r="N47" s="152">
        <f>20309911.275649+723428666.7/394.93+646453366.1/386.19+636850451.3/405.61+552378447/388.01+519246953.2/396.85</f>
        <v>28117772.275609713</v>
      </c>
      <c r="O47" s="132">
        <f t="shared" si="1"/>
        <v>76798633.049686611</v>
      </c>
      <c r="P47" s="247" t="s">
        <v>81</v>
      </c>
      <c r="Q47" s="97" t="s">
        <v>434</v>
      </c>
      <c r="R47" s="8"/>
      <c r="S47" s="5"/>
    </row>
    <row r="48" spans="1:19" ht="71.25" customHeight="1" outlineLevel="1" x14ac:dyDescent="0.25">
      <c r="A48" s="251"/>
      <c r="B48" s="161" t="s">
        <v>92</v>
      </c>
      <c r="C48" s="248"/>
      <c r="D48" s="130" t="s">
        <v>418</v>
      </c>
      <c r="E48" s="248"/>
      <c r="F48" s="130" t="s">
        <v>435</v>
      </c>
      <c r="G48" s="263"/>
      <c r="H48" s="265"/>
      <c r="I48" s="32" t="s">
        <v>2</v>
      </c>
      <c r="J48" s="30">
        <v>1265847400</v>
      </c>
      <c r="K48" s="152">
        <f>9509488626+108542329</f>
        <v>9618030955</v>
      </c>
      <c r="L48" s="128">
        <v>0.03</v>
      </c>
      <c r="M48" s="152">
        <f>2858334735.47632+482835444.3+482835444.2+482835444.3+482835444.2+482835444.3</f>
        <v>5272511956.7763195</v>
      </c>
      <c r="N48" s="152">
        <f>1045375895.11175+103648675.3+94716219.7+88841721.7+80553046.6+74034768.1</f>
        <v>1487170326.51175</v>
      </c>
      <c r="O48" s="132">
        <f t="shared" si="1"/>
        <v>4345518998.2236805</v>
      </c>
      <c r="P48" s="248"/>
      <c r="Q48" s="97" t="s">
        <v>434</v>
      </c>
      <c r="R48" s="8"/>
      <c r="S48" s="5"/>
    </row>
    <row r="49" spans="1:19" ht="79.5" customHeight="1" outlineLevel="1" x14ac:dyDescent="0.25">
      <c r="A49" s="129">
        <v>26</v>
      </c>
      <c r="B49" s="136" t="s">
        <v>92</v>
      </c>
      <c r="C49" s="130" t="s">
        <v>100</v>
      </c>
      <c r="D49" s="254" t="s">
        <v>47</v>
      </c>
      <c r="E49" s="247" t="s">
        <v>462</v>
      </c>
      <c r="F49" s="164" t="s">
        <v>433</v>
      </c>
      <c r="G49" s="168" t="s">
        <v>309</v>
      </c>
      <c r="H49" s="170" t="s">
        <v>101</v>
      </c>
      <c r="I49" s="26" t="s">
        <v>49</v>
      </c>
      <c r="J49" s="29">
        <v>8907500</v>
      </c>
      <c r="K49" s="152">
        <v>8907384.7100000009</v>
      </c>
      <c r="L49" s="127" t="s">
        <v>352</v>
      </c>
      <c r="M49" s="152"/>
      <c r="N49" s="152">
        <f>1241236.45+96159781.6/386.38+118034920.8/403.19+119269571.9/387.69+118214384.3/387.64</f>
        <v>2395463.4501183401</v>
      </c>
      <c r="O49" s="142">
        <f t="shared" si="1"/>
        <v>8907384.7100000009</v>
      </c>
      <c r="P49" s="125" t="s">
        <v>102</v>
      </c>
      <c r="Q49" s="145" t="s">
        <v>434</v>
      </c>
      <c r="R49" s="8"/>
      <c r="S49" s="5"/>
    </row>
    <row r="50" spans="1:19" ht="116.25" customHeight="1" outlineLevel="1" thickBot="1" x14ac:dyDescent="0.3">
      <c r="A50" s="129">
        <v>27</v>
      </c>
      <c r="B50" s="157" t="s">
        <v>85</v>
      </c>
      <c r="C50" s="158" t="s">
        <v>100</v>
      </c>
      <c r="D50" s="257"/>
      <c r="E50" s="248"/>
      <c r="F50" s="164" t="s">
        <v>433</v>
      </c>
      <c r="G50" s="168" t="s">
        <v>310</v>
      </c>
      <c r="H50" s="39" t="s">
        <v>101</v>
      </c>
      <c r="I50" s="38" t="s">
        <v>49</v>
      </c>
      <c r="J50" s="40">
        <v>21092500</v>
      </c>
      <c r="K50" s="152">
        <v>21092210.790000003</v>
      </c>
      <c r="L50" s="99" t="s">
        <v>352</v>
      </c>
      <c r="M50" s="152"/>
      <c r="N50" s="152">
        <f>3081286.01+227668040/386.38+279535083/403.19+282423985/387.69+(79661738.3+200263572)/387.64</f>
        <v>5814433.9830596093</v>
      </c>
      <c r="O50" s="141">
        <f t="shared" si="1"/>
        <v>21092210.790000003</v>
      </c>
      <c r="P50" s="125" t="s">
        <v>103</v>
      </c>
      <c r="Q50" s="124" t="s">
        <v>434</v>
      </c>
      <c r="R50" s="8"/>
      <c r="S50" s="5"/>
    </row>
    <row r="51" spans="1:19" s="9" customFormat="1" ht="15" customHeight="1" x14ac:dyDescent="0.25">
      <c r="A51" s="244" t="s">
        <v>111</v>
      </c>
      <c r="B51" s="245"/>
      <c r="C51" s="246"/>
      <c r="D51" s="41"/>
      <c r="E51" s="41"/>
      <c r="F51" s="41"/>
      <c r="G51" s="41"/>
      <c r="H51" s="41"/>
      <c r="I51" s="41" t="s">
        <v>27</v>
      </c>
      <c r="J51" s="10">
        <f>SUMIF($I$5:$I$50,I51,$J$5:$J$50)</f>
        <v>275755742.28000003</v>
      </c>
      <c r="K51" s="10">
        <f>SUMIF($I$5:$I$50,I51,$K$5:$K$50)</f>
        <v>98145203.770000011</v>
      </c>
      <c r="L51" s="10"/>
      <c r="M51" s="10">
        <f>SUMIF($I$5:$I$50,I51,$M$5:$M$50)</f>
        <v>42494307.343892485</v>
      </c>
      <c r="N51" s="10">
        <f>SUMIF($I$5:$I$50,I51,$N$5:$N$50)</f>
        <v>18094860.897632036</v>
      </c>
      <c r="O51" s="10">
        <f>SUMIF($I$5:$I$50,I51,$O$5:$O$50)</f>
        <v>56412464.856107518</v>
      </c>
      <c r="P51" s="87"/>
      <c r="Q51" s="122"/>
      <c r="R51" s="8"/>
      <c r="S51" s="5"/>
    </row>
    <row r="52" spans="1:19" s="9" customFormat="1" ht="15" customHeight="1" x14ac:dyDescent="0.25">
      <c r="A52" s="238"/>
      <c r="B52" s="239"/>
      <c r="C52" s="240"/>
      <c r="D52" s="42"/>
      <c r="E52" s="42"/>
      <c r="F52" s="42"/>
      <c r="G52" s="42"/>
      <c r="H52" s="42"/>
      <c r="I52" s="42" t="s">
        <v>2</v>
      </c>
      <c r="J52" s="11">
        <f>SUMIF($I$5:$I$50,I52,$J$5:$J$50)</f>
        <v>56498515745.900002</v>
      </c>
      <c r="K52" s="11">
        <f>SUMIF($I$5:$I$50,I52,$K$5:$K$50)</f>
        <v>74936560960.600006</v>
      </c>
      <c r="L52" s="11"/>
      <c r="M52" s="11">
        <f>SUMIF($I$5:$I$50,I52,$M$5:$M$50)</f>
        <v>18304717206.476318</v>
      </c>
      <c r="N52" s="11">
        <f>SUMIF($I$5:$I$50,I52,$N$5:$N$50)</f>
        <v>17959525133.921749</v>
      </c>
      <c r="O52" s="11">
        <f>SUMIF($I$5:$I$50,I52,$O$5:$O$50)</f>
        <v>56631843754.12368</v>
      </c>
      <c r="P52" s="88"/>
      <c r="Q52" s="117"/>
      <c r="R52" s="8"/>
      <c r="S52" s="5"/>
    </row>
    <row r="53" spans="1:19" s="9" customFormat="1" ht="15" customHeight="1" x14ac:dyDescent="0.25">
      <c r="A53" s="238"/>
      <c r="B53" s="239"/>
      <c r="C53" s="240"/>
      <c r="D53" s="42"/>
      <c r="E53" s="42"/>
      <c r="F53" s="42"/>
      <c r="G53" s="42"/>
      <c r="H53" s="42"/>
      <c r="I53" s="42" t="s">
        <v>49</v>
      </c>
      <c r="J53" s="11">
        <f>SUMIF($I$5:$I$50,I53,$J$5:$J$50)</f>
        <v>483654882.94</v>
      </c>
      <c r="K53" s="11">
        <f>SUMIF($I$5:$I$50,I53,$K$5:$K$50)</f>
        <v>326751970.51000005</v>
      </c>
      <c r="L53" s="11"/>
      <c r="M53" s="11">
        <f>SUMIF($I$5:$I$50,I53,$M$5:$M$50)</f>
        <v>125191520.95798881</v>
      </c>
      <c r="N53" s="11">
        <f>SUMIF($I$5:$I$50,I53,$N$5:$N$50)</f>
        <v>63621937.665056229</v>
      </c>
      <c r="O53" s="11">
        <f>SUMIF($I$5:$I$50,I53,$O$5:$O$50)</f>
        <v>201560449.55201125</v>
      </c>
      <c r="P53" s="88"/>
      <c r="Q53" s="117"/>
      <c r="R53" s="8"/>
      <c r="S53" s="5"/>
    </row>
    <row r="54" spans="1:19" s="9" customFormat="1" ht="15" customHeight="1" x14ac:dyDescent="0.25">
      <c r="A54" s="238"/>
      <c r="B54" s="239"/>
      <c r="C54" s="240"/>
      <c r="D54" s="43"/>
      <c r="E54" s="43"/>
      <c r="F54" s="43"/>
      <c r="G54" s="43"/>
      <c r="H54" s="43"/>
      <c r="I54" s="43" t="s">
        <v>69</v>
      </c>
      <c r="J54" s="44">
        <f>SUMIF($I$5:$I$50,I54,$J$5:$J$50)</f>
        <v>31777311969</v>
      </c>
      <c r="K54" s="44">
        <f>SUMIF($I$5:$I$50,I54,$K$5:$K$50)</f>
        <v>31859249643</v>
      </c>
      <c r="L54" s="44"/>
      <c r="M54" s="44">
        <f>SUMIF($I$5:$I$50,I54,$M$5:$M$50)</f>
        <v>12748532590.394199</v>
      </c>
      <c r="N54" s="44">
        <f>SUMIF($I$5:$I$50,I54,$N$5:$N$50)</f>
        <v>3651976207.5861864</v>
      </c>
      <c r="O54" s="44">
        <f>SUMIF($I$5:$I$50,I54,$O$5:$O$50)</f>
        <v>19110717052.605801</v>
      </c>
      <c r="P54" s="89"/>
      <c r="Q54" s="118"/>
      <c r="R54" s="8"/>
      <c r="S54" s="5"/>
    </row>
    <row r="55" spans="1:19" s="9" customFormat="1" ht="15" customHeight="1" thickBot="1" x14ac:dyDescent="0.3">
      <c r="A55" s="241"/>
      <c r="B55" s="242"/>
      <c r="C55" s="243"/>
      <c r="D55" s="45"/>
      <c r="E55" s="45"/>
      <c r="F55" s="45"/>
      <c r="G55" s="103"/>
      <c r="H55" s="104"/>
      <c r="I55" s="105" t="s">
        <v>59</v>
      </c>
      <c r="J55" s="12">
        <f>SUMIF($I$5:$I$50,I55,$J$5:$J$50)</f>
        <v>24086688</v>
      </c>
      <c r="K55" s="12">
        <f>SUMIF($I$5:$I$50,I55,$K$5:$K$50)</f>
        <v>18384172.012149811</v>
      </c>
      <c r="L55" s="12"/>
      <c r="M55" s="12">
        <f>SUMIF($I$5:$I$50,I55,$M$5:$M$50)</f>
        <v>4824455.8054339811</v>
      </c>
      <c r="N55" s="12">
        <f>SUMIF($I$5:$I$50,I55,$N$5:$N$50)</f>
        <v>3135419.4621466845</v>
      </c>
      <c r="O55" s="12">
        <f>SUMIF($I$5:$I$50,I55,$O$5:$O$50)</f>
        <v>13559716.206715828</v>
      </c>
      <c r="P55" s="90"/>
      <c r="Q55" s="119"/>
      <c r="R55" s="8"/>
      <c r="S55" s="5"/>
    </row>
    <row r="56" spans="1:19" ht="96.75" customHeight="1" outlineLevel="1" x14ac:dyDescent="0.25">
      <c r="A56" s="160">
        <v>28</v>
      </c>
      <c r="B56" s="162" t="s">
        <v>112</v>
      </c>
      <c r="C56" s="157" t="s">
        <v>113</v>
      </c>
      <c r="D56" s="164" t="s">
        <v>114</v>
      </c>
      <c r="E56" s="168" t="s">
        <v>463</v>
      </c>
      <c r="F56" s="164" t="s">
        <v>433</v>
      </c>
      <c r="G56" s="168" t="s">
        <v>311</v>
      </c>
      <c r="H56" s="168" t="s">
        <v>115</v>
      </c>
      <c r="I56" s="26" t="s">
        <v>27</v>
      </c>
      <c r="J56" s="170">
        <v>5000000</v>
      </c>
      <c r="K56" s="170">
        <v>5000000</v>
      </c>
      <c r="L56" s="140" t="s">
        <v>116</v>
      </c>
      <c r="M56" s="170">
        <f>4166666.69+208333.33+88124985.9/423+87866652.7/421.76+87864653.7/421.75</f>
        <v>5000000.1203959631</v>
      </c>
      <c r="N56" s="170">
        <v>583240</v>
      </c>
      <c r="O56" s="170">
        <f t="shared" ref="O56:O61" si="2">K56-M56</f>
        <v>-0.12039596308022738</v>
      </c>
      <c r="P56" s="126" t="s">
        <v>73</v>
      </c>
      <c r="Q56" s="146" t="s">
        <v>502</v>
      </c>
      <c r="S56" s="5"/>
    </row>
    <row r="57" spans="1:19" ht="86.25" customHeight="1" outlineLevel="1" x14ac:dyDescent="0.25">
      <c r="A57" s="159">
        <v>29</v>
      </c>
      <c r="B57" s="161" t="s">
        <v>117</v>
      </c>
      <c r="C57" s="156" t="s">
        <v>118</v>
      </c>
      <c r="D57" s="163" t="s">
        <v>114</v>
      </c>
      <c r="E57" s="168" t="s">
        <v>464</v>
      </c>
      <c r="F57" s="163" t="s">
        <v>433</v>
      </c>
      <c r="G57" s="167" t="s">
        <v>312</v>
      </c>
      <c r="H57" s="167" t="s">
        <v>119</v>
      </c>
      <c r="I57" s="131" t="s">
        <v>27</v>
      </c>
      <c r="J57" s="152">
        <v>5000000</v>
      </c>
      <c r="K57" s="152">
        <v>5000000</v>
      </c>
      <c r="L57" s="127" t="s">
        <v>116</v>
      </c>
      <c r="M57" s="152">
        <f>3125000+208333.33+88124985.9/423+87866652.7/421.76+87864569.3/421.75</f>
        <v>3958333.2302774102</v>
      </c>
      <c r="N57" s="152">
        <v>427171.1</v>
      </c>
      <c r="O57" s="152">
        <f t="shared" si="2"/>
        <v>1041666.7697225898</v>
      </c>
      <c r="P57" s="247" t="s">
        <v>73</v>
      </c>
      <c r="Q57" s="97" t="s">
        <v>434</v>
      </c>
      <c r="S57" s="5"/>
    </row>
    <row r="58" spans="1:19" ht="84.75" customHeight="1" outlineLevel="1" x14ac:dyDescent="0.25">
      <c r="A58" s="159">
        <v>30</v>
      </c>
      <c r="B58" s="161" t="s">
        <v>117</v>
      </c>
      <c r="C58" s="156"/>
      <c r="D58" s="163" t="s">
        <v>418</v>
      </c>
      <c r="E58" s="135"/>
      <c r="F58" s="163" t="s">
        <v>435</v>
      </c>
      <c r="G58" s="167"/>
      <c r="H58" s="167"/>
      <c r="I58" s="37" t="s">
        <v>2</v>
      </c>
      <c r="J58" s="152"/>
      <c r="K58" s="152">
        <v>66094595</v>
      </c>
      <c r="L58" s="127" t="s">
        <v>116</v>
      </c>
      <c r="M58" s="152">
        <f>6609471.44+6609433.4+6609473.7+6609459.5+6609459.5</f>
        <v>33047297.539999999</v>
      </c>
      <c r="N58" s="152">
        <v>4464832.2977352943</v>
      </c>
      <c r="O58" s="152">
        <f t="shared" si="2"/>
        <v>33047297.460000001</v>
      </c>
      <c r="P58" s="248"/>
      <c r="Q58" s="97" t="s">
        <v>434</v>
      </c>
      <c r="S58" s="5"/>
    </row>
    <row r="59" spans="1:19" ht="89.25" customHeight="1" outlineLevel="1" x14ac:dyDescent="0.25">
      <c r="A59" s="129">
        <v>31</v>
      </c>
      <c r="B59" s="136" t="s">
        <v>120</v>
      </c>
      <c r="C59" s="130" t="s">
        <v>121</v>
      </c>
      <c r="D59" s="135" t="s">
        <v>122</v>
      </c>
      <c r="E59" s="134" t="s">
        <v>465</v>
      </c>
      <c r="F59" s="135" t="s">
        <v>433</v>
      </c>
      <c r="G59" s="134" t="s">
        <v>313</v>
      </c>
      <c r="H59" s="134" t="s">
        <v>123</v>
      </c>
      <c r="I59" s="131" t="s">
        <v>27</v>
      </c>
      <c r="J59" s="152">
        <v>5000000</v>
      </c>
      <c r="K59" s="152">
        <v>5000000</v>
      </c>
      <c r="L59" s="151" t="s">
        <v>116</v>
      </c>
      <c r="M59" s="152">
        <f>3227272.74+97124988.4/427.35+96136352.1/423+95854533.9/421.76+95852303.4/421.75</f>
        <v>4136363.6400054074</v>
      </c>
      <c r="N59" s="152">
        <f>475298.336411511+13707853.3/421.76+10793552.6/421.75</f>
        <v>533392.18557454634</v>
      </c>
      <c r="O59" s="152">
        <f t="shared" si="2"/>
        <v>863636.35999459261</v>
      </c>
      <c r="P59" s="84" t="s">
        <v>73</v>
      </c>
      <c r="Q59" s="97" t="s">
        <v>434</v>
      </c>
      <c r="S59" s="5"/>
    </row>
    <row r="60" spans="1:19" ht="57" customHeight="1" outlineLevel="1" x14ac:dyDescent="0.25">
      <c r="A60" s="250">
        <v>32</v>
      </c>
      <c r="B60" s="161" t="s">
        <v>124</v>
      </c>
      <c r="C60" s="247" t="s">
        <v>125</v>
      </c>
      <c r="D60" s="163" t="s">
        <v>122</v>
      </c>
      <c r="E60" s="134" t="s">
        <v>466</v>
      </c>
      <c r="F60" s="163" t="s">
        <v>433</v>
      </c>
      <c r="G60" s="167" t="s">
        <v>314</v>
      </c>
      <c r="H60" s="167" t="s">
        <v>126</v>
      </c>
      <c r="I60" s="37" t="s">
        <v>27</v>
      </c>
      <c r="J60" s="169">
        <v>5000000</v>
      </c>
      <c r="K60" s="152">
        <f>3000000+2000000</f>
        <v>5000000</v>
      </c>
      <c r="L60" s="36" t="s">
        <v>270</v>
      </c>
      <c r="M60" s="152">
        <f>676724.137931034+46797420.6/423+46660236.7/421.76+46659130.4/421.75</f>
        <v>1008620.738115976</v>
      </c>
      <c r="N60" s="152">
        <v>264937.42719531193</v>
      </c>
      <c r="O60" s="169">
        <f t="shared" si="2"/>
        <v>3991379.2618840239</v>
      </c>
      <c r="P60" s="247" t="s">
        <v>73</v>
      </c>
      <c r="Q60" s="97" t="s">
        <v>434</v>
      </c>
      <c r="S60" s="5"/>
    </row>
    <row r="61" spans="1:19" ht="57" customHeight="1" outlineLevel="1" thickBot="1" x14ac:dyDescent="0.3">
      <c r="A61" s="258"/>
      <c r="B61" s="161" t="s">
        <v>124</v>
      </c>
      <c r="C61" s="259"/>
      <c r="D61" s="163" t="s">
        <v>418</v>
      </c>
      <c r="E61" s="163"/>
      <c r="F61" s="163" t="s">
        <v>435</v>
      </c>
      <c r="G61" s="167" t="s">
        <v>314</v>
      </c>
      <c r="H61" s="167" t="s">
        <v>259</v>
      </c>
      <c r="I61" s="37" t="s">
        <v>2</v>
      </c>
      <c r="J61" s="169"/>
      <c r="K61" s="152">
        <v>168935081.21000001</v>
      </c>
      <c r="L61" s="36">
        <v>1.404E-2</v>
      </c>
      <c r="M61" s="152">
        <f>9751561.92837819+3148517+4073473.9+4413816.1</f>
        <v>21387368.928378187</v>
      </c>
      <c r="N61" s="152">
        <v>2860113.026823787</v>
      </c>
      <c r="O61" s="169">
        <f t="shared" si="2"/>
        <v>147547712.28162181</v>
      </c>
      <c r="P61" s="259"/>
      <c r="Q61" s="150" t="s">
        <v>434</v>
      </c>
      <c r="S61" s="5"/>
    </row>
    <row r="62" spans="1:19" s="9" customFormat="1" ht="15" customHeight="1" x14ac:dyDescent="0.25">
      <c r="A62" s="244" t="s">
        <v>127</v>
      </c>
      <c r="B62" s="245"/>
      <c r="C62" s="246"/>
      <c r="D62" s="106"/>
      <c r="E62" s="106"/>
      <c r="F62" s="41"/>
      <c r="G62" s="41"/>
      <c r="H62" s="41"/>
      <c r="I62" s="41" t="s">
        <v>27</v>
      </c>
      <c r="J62" s="10">
        <f>SUMIF($I$56:$I$61,I62,$J$56:$J$61)</f>
        <v>20000000</v>
      </c>
      <c r="K62" s="10">
        <f>SUMIF($I$56:$I$61,I62,$K$56:$K$61)</f>
        <v>20000000</v>
      </c>
      <c r="L62" s="13"/>
      <c r="M62" s="10">
        <f>SUMIF($I$56:$I$61,I62,$M$56:$M$61)</f>
        <v>14103317.728794757</v>
      </c>
      <c r="N62" s="10">
        <f>SUMIF($I$56:$I$61,I62,$N$56:$N$61)</f>
        <v>1808740.7127698583</v>
      </c>
      <c r="O62" s="10">
        <f>SUMIF($I$56:$I$61,I62,$O$56:$O$61)</f>
        <v>5896682.2712052427</v>
      </c>
      <c r="P62" s="87"/>
      <c r="Q62" s="122"/>
      <c r="R62" s="8"/>
      <c r="S62" s="5"/>
    </row>
    <row r="63" spans="1:19" s="9" customFormat="1" ht="15" customHeight="1" x14ac:dyDescent="0.25">
      <c r="A63" s="238"/>
      <c r="B63" s="239"/>
      <c r="C63" s="240"/>
      <c r="D63" s="33"/>
      <c r="E63" s="33"/>
      <c r="F63" s="42"/>
      <c r="G63" s="42"/>
      <c r="H63" s="42"/>
      <c r="I63" s="42" t="s">
        <v>2</v>
      </c>
      <c r="J63" s="11">
        <f>SUMIF($I$56:$I$61,I63,$J$56:$J$61)</f>
        <v>0</v>
      </c>
      <c r="K63" s="11">
        <f>SUMIF($I$56:$I$61,I63,$K$56:$K$61)</f>
        <v>235029676.21000001</v>
      </c>
      <c r="L63" s="11"/>
      <c r="M63" s="11">
        <f>SUMIF($I$56:$I$61,I63,$M$56:$M$61)</f>
        <v>54434666.468378186</v>
      </c>
      <c r="N63" s="11">
        <f>SUMIF($I$56:$I$61,I63,$N$56:$N$61)</f>
        <v>7324945.3245590813</v>
      </c>
      <c r="O63" s="11">
        <f>SUMIF($I$56:$I$61,I63,$O$56:$O$61)</f>
        <v>180595009.74162182</v>
      </c>
      <c r="P63" s="88"/>
      <c r="Q63" s="117"/>
      <c r="R63" s="8"/>
      <c r="S63" s="5"/>
    </row>
    <row r="64" spans="1:19" s="9" customFormat="1" ht="15" customHeight="1" x14ac:dyDescent="0.25">
      <c r="A64" s="238"/>
      <c r="B64" s="239"/>
      <c r="C64" s="240"/>
      <c r="D64" s="33"/>
      <c r="E64" s="33"/>
      <c r="F64" s="42"/>
      <c r="G64" s="42"/>
      <c r="H64" s="42"/>
      <c r="I64" s="42" t="s">
        <v>49</v>
      </c>
      <c r="J64" s="11">
        <f>SUMIF($I$56:$I$61,I64,$J$56:$J$61)</f>
        <v>0</v>
      </c>
      <c r="K64" s="11">
        <f>SUMIF($I$56:$I$61,I64,$K$56:$K$61)</f>
        <v>0</v>
      </c>
      <c r="L64" s="11"/>
      <c r="M64" s="11">
        <f>SUMIF($I$56:$I$61,I64,$M$56:$M$61)</f>
        <v>0</v>
      </c>
      <c r="N64" s="11">
        <f>SUMIF($I$56:$I$61,I64,$N$56:$N$61)</f>
        <v>0</v>
      </c>
      <c r="O64" s="11">
        <f>SUMIF($I$56:$I$61,I64,$O$56:$O$61)</f>
        <v>0</v>
      </c>
      <c r="P64" s="88"/>
      <c r="Q64" s="117"/>
      <c r="R64" s="8"/>
      <c r="S64" s="5"/>
    </row>
    <row r="65" spans="1:19" s="9" customFormat="1" ht="15" customHeight="1" thickBot="1" x14ac:dyDescent="0.3">
      <c r="A65" s="241"/>
      <c r="B65" s="242"/>
      <c r="C65" s="243"/>
      <c r="D65" s="107"/>
      <c r="E65" s="107"/>
      <c r="F65" s="45"/>
      <c r="G65" s="45"/>
      <c r="H65" s="45"/>
      <c r="I65" s="45" t="s">
        <v>69</v>
      </c>
      <c r="J65" s="12">
        <f>SUMIF($I$56:$I$61,I65,$J$56:$J$61)</f>
        <v>0</v>
      </c>
      <c r="K65" s="12">
        <f>SUMIF($I$56:$I$61,I65,$K$56:$K$61)</f>
        <v>0</v>
      </c>
      <c r="L65" s="12"/>
      <c r="M65" s="12">
        <f>SUMIF($I$56:$I$61,I65,$M$56:$M$61)</f>
        <v>0</v>
      </c>
      <c r="N65" s="12">
        <f>SUMIF($I$56:$I$61,I65,$N$56:$N$61)</f>
        <v>0</v>
      </c>
      <c r="O65" s="12">
        <f>SUMIF($I$56:$I$61,I65,$O$56:$O$61)</f>
        <v>0</v>
      </c>
      <c r="P65" s="90"/>
      <c r="Q65" s="119"/>
      <c r="R65" s="8"/>
      <c r="S65" s="5"/>
    </row>
    <row r="66" spans="1:19" s="2" customFormat="1" ht="91.5" customHeight="1" outlineLevel="1" x14ac:dyDescent="0.25">
      <c r="A66" s="129">
        <v>33</v>
      </c>
      <c r="B66" s="130" t="s">
        <v>128</v>
      </c>
      <c r="C66" s="130" t="s">
        <v>129</v>
      </c>
      <c r="D66" s="157" t="s">
        <v>421</v>
      </c>
      <c r="E66" s="157"/>
      <c r="F66" s="135" t="s">
        <v>408</v>
      </c>
      <c r="G66" s="46" t="s">
        <v>315</v>
      </c>
      <c r="H66" s="130" t="s">
        <v>130</v>
      </c>
      <c r="I66" s="130" t="s">
        <v>2</v>
      </c>
      <c r="J66" s="152">
        <v>74000000000</v>
      </c>
      <c r="K66" s="152">
        <v>74000000000</v>
      </c>
      <c r="L66" s="151" t="s">
        <v>131</v>
      </c>
      <c r="M66" s="152">
        <f>38761904762.2+1761904761.9+1761904761.9+1761904761.9+1761904761.9+1761904761.9+1761904761.9+1761904761.9+1761904761.9+1761904761.9+1761904761.9+1761904761.9+1761904761.9+1761904761.9+1761904761.9+1761904761.9+1761904762+1761904762</f>
        <v>68714285714.70002</v>
      </c>
      <c r="N66" s="152">
        <f>27971909177.5+338144.2+498915.4+526901.3+642474.8+795979.5+10421637.5+1734045.9+86178.9+156588.3+335841+256258.7+369392+1307877+6082866</f>
        <v>27995462278.000004</v>
      </c>
      <c r="O66" s="132">
        <f>K66-M66</f>
        <v>5285714285.2999802</v>
      </c>
      <c r="P66" s="84" t="s">
        <v>73</v>
      </c>
      <c r="Q66" s="97" t="s">
        <v>434</v>
      </c>
      <c r="R66" s="1"/>
      <c r="S66" s="5"/>
    </row>
    <row r="67" spans="1:19" s="2" customFormat="1" ht="91.5" customHeight="1" outlineLevel="1" x14ac:dyDescent="0.25">
      <c r="A67" s="129">
        <v>34</v>
      </c>
      <c r="B67" s="130" t="s">
        <v>128</v>
      </c>
      <c r="C67" s="130" t="s">
        <v>132</v>
      </c>
      <c r="D67" s="130" t="s">
        <v>25</v>
      </c>
      <c r="E67" s="130"/>
      <c r="F67" s="135" t="s">
        <v>408</v>
      </c>
      <c r="G67" s="46" t="s">
        <v>316</v>
      </c>
      <c r="H67" s="130" t="s">
        <v>133</v>
      </c>
      <c r="I67" s="130" t="s">
        <v>2</v>
      </c>
      <c r="J67" s="152">
        <v>2035890300</v>
      </c>
      <c r="K67" s="152">
        <v>2035890300</v>
      </c>
      <c r="L67" s="151" t="s">
        <v>42</v>
      </c>
      <c r="M67" s="152">
        <v>0</v>
      </c>
      <c r="N67" s="152">
        <v>0</v>
      </c>
      <c r="O67" s="132">
        <f t="shared" ref="O67:O72" si="3">K67-M67</f>
        <v>2035890300</v>
      </c>
      <c r="P67" s="84" t="s">
        <v>73</v>
      </c>
      <c r="Q67" s="97" t="s">
        <v>434</v>
      </c>
      <c r="R67" s="1"/>
      <c r="S67" s="5"/>
    </row>
    <row r="68" spans="1:19" ht="81" outlineLevel="1" x14ac:dyDescent="0.25">
      <c r="A68" s="160">
        <v>35</v>
      </c>
      <c r="B68" s="136" t="s">
        <v>134</v>
      </c>
      <c r="C68" s="130" t="s">
        <v>135</v>
      </c>
      <c r="D68" s="135" t="s">
        <v>25</v>
      </c>
      <c r="E68" s="135" t="s">
        <v>446</v>
      </c>
      <c r="F68" s="135"/>
      <c r="G68" s="46" t="s">
        <v>317</v>
      </c>
      <c r="H68" s="135" t="s">
        <v>136</v>
      </c>
      <c r="I68" s="131" t="s">
        <v>27</v>
      </c>
      <c r="J68" s="152">
        <v>3500000</v>
      </c>
      <c r="K68" s="152">
        <v>3500000</v>
      </c>
      <c r="L68" s="151">
        <v>7.4999999999999997E-3</v>
      </c>
      <c r="M68" s="152">
        <f>696000+31440060/542.07+58000+24255020/418.19+24400600/420.7+25920780/446.91+24152360/416.42+23862360/411.42</f>
        <v>1102000</v>
      </c>
      <c r="N68" s="152">
        <f>399592.922231146+10515+10297.5+4215355.2/418.19+4149153.8/420.7+4310447/446.91+3925799.6/416.42+3789178.2/411.42</f>
        <v>468630.42258194601</v>
      </c>
      <c r="O68" s="132">
        <f t="shared" si="3"/>
        <v>2398000</v>
      </c>
      <c r="P68" s="84" t="s">
        <v>73</v>
      </c>
      <c r="Q68" s="97" t="s">
        <v>434</v>
      </c>
      <c r="S68" s="5"/>
    </row>
    <row r="69" spans="1:19" ht="128.25" customHeight="1" outlineLevel="1" x14ac:dyDescent="0.25">
      <c r="A69" s="129">
        <v>36</v>
      </c>
      <c r="B69" s="136" t="s">
        <v>137</v>
      </c>
      <c r="C69" s="130" t="s">
        <v>138</v>
      </c>
      <c r="D69" s="130" t="s">
        <v>139</v>
      </c>
      <c r="E69" s="130"/>
      <c r="F69" s="135" t="s">
        <v>408</v>
      </c>
      <c r="G69" s="137" t="s">
        <v>318</v>
      </c>
      <c r="H69" s="135" t="s">
        <v>140</v>
      </c>
      <c r="I69" s="131" t="s">
        <v>49</v>
      </c>
      <c r="J69" s="132">
        <v>1689937.9</v>
      </c>
      <c r="K69" s="152">
        <v>1689937.9</v>
      </c>
      <c r="L69" s="133">
        <v>5.9900000000000002E-2</v>
      </c>
      <c r="M69" s="152">
        <f>872805.23+28165+28165+28165+28165</f>
        <v>985465.23</v>
      </c>
      <c r="N69" s="152">
        <f>1964862.47+25588.58+24871.58+24276.42+23029.84</f>
        <v>2062628.8900000001</v>
      </c>
      <c r="O69" s="132">
        <f t="shared" si="3"/>
        <v>704472.66999999993</v>
      </c>
      <c r="P69" s="85" t="s">
        <v>73</v>
      </c>
      <c r="Q69" s="120" t="s">
        <v>434</v>
      </c>
      <c r="S69" s="5"/>
    </row>
    <row r="70" spans="1:19" ht="98.25" customHeight="1" outlineLevel="1" x14ac:dyDescent="0.25">
      <c r="A70" s="160">
        <v>37</v>
      </c>
      <c r="B70" s="136" t="s">
        <v>141</v>
      </c>
      <c r="C70" s="130" t="s">
        <v>142</v>
      </c>
      <c r="D70" s="130" t="s">
        <v>139</v>
      </c>
      <c r="E70" s="130"/>
      <c r="F70" s="135" t="s">
        <v>408</v>
      </c>
      <c r="G70" s="137" t="s">
        <v>319</v>
      </c>
      <c r="H70" s="135" t="s">
        <v>143</v>
      </c>
      <c r="I70" s="131" t="s">
        <v>49</v>
      </c>
      <c r="J70" s="132">
        <v>2828000</v>
      </c>
      <c r="K70" s="152">
        <v>2828000</v>
      </c>
      <c r="L70" s="133">
        <v>5.9900000000000002E-2</v>
      </c>
      <c r="M70" s="132">
        <f>1128831.5+47000+47000+47000</f>
        <v>1269831.5</v>
      </c>
      <c r="N70" s="152">
        <f>1731608.85+50775.51+49371.71+48231.48</f>
        <v>1879987.55</v>
      </c>
      <c r="O70" s="132">
        <f t="shared" si="3"/>
        <v>1558168.5</v>
      </c>
      <c r="P70" s="85" t="s">
        <v>73</v>
      </c>
      <c r="Q70" s="120" t="s">
        <v>434</v>
      </c>
      <c r="S70" s="5"/>
    </row>
    <row r="71" spans="1:19" s="4" customFormat="1" ht="140.25" customHeight="1" outlineLevel="1" x14ac:dyDescent="0.25">
      <c r="A71" s="129">
        <v>38</v>
      </c>
      <c r="B71" s="136" t="s">
        <v>144</v>
      </c>
      <c r="C71" s="130" t="s">
        <v>145</v>
      </c>
      <c r="D71" s="130" t="s">
        <v>139</v>
      </c>
      <c r="E71" s="130"/>
      <c r="F71" s="135" t="s">
        <v>408</v>
      </c>
      <c r="G71" s="135" t="s">
        <v>320</v>
      </c>
      <c r="H71" s="135" t="s">
        <v>146</v>
      </c>
      <c r="I71" s="130" t="s">
        <v>2</v>
      </c>
      <c r="J71" s="47">
        <v>2092000000</v>
      </c>
      <c r="K71" s="152">
        <v>2092000000</v>
      </c>
      <c r="L71" s="48">
        <v>0.02</v>
      </c>
      <c r="M71" s="152">
        <f>354576270+35457627.1+35457627+35457627+35457627+35457627.12</f>
        <v>531864405.22000003</v>
      </c>
      <c r="N71" s="152">
        <f>426427783.87+17517039.3+16879773.4+16802058.1+16265822.2+16087076.86</f>
        <v>509979553.73000002</v>
      </c>
      <c r="O71" s="132">
        <f t="shared" si="3"/>
        <v>1560135594.78</v>
      </c>
      <c r="P71" s="85" t="s">
        <v>73</v>
      </c>
      <c r="Q71" s="120" t="s">
        <v>434</v>
      </c>
      <c r="R71" s="3"/>
      <c r="S71" s="5"/>
    </row>
    <row r="72" spans="1:19" s="4" customFormat="1" ht="123.75" customHeight="1" outlineLevel="1" thickBot="1" x14ac:dyDescent="0.3">
      <c r="A72" s="56">
        <v>39</v>
      </c>
      <c r="B72" s="98" t="s">
        <v>144</v>
      </c>
      <c r="C72" s="95" t="s">
        <v>147</v>
      </c>
      <c r="D72" s="95" t="s">
        <v>139</v>
      </c>
      <c r="E72" s="95"/>
      <c r="F72" s="57" t="s">
        <v>408</v>
      </c>
      <c r="G72" s="57" t="s">
        <v>321</v>
      </c>
      <c r="H72" s="57" t="s">
        <v>148</v>
      </c>
      <c r="I72" s="57" t="s">
        <v>2</v>
      </c>
      <c r="J72" s="108">
        <v>2187306400</v>
      </c>
      <c r="K72" s="108">
        <v>2187306400</v>
      </c>
      <c r="L72" s="109">
        <v>0.03</v>
      </c>
      <c r="M72" s="58">
        <v>75424358.620000005</v>
      </c>
      <c r="N72" s="58">
        <f>224789707.9+33079263.9+32539928.1+33079263.9+32719706.7+33079263.9</f>
        <v>389287134.39999998</v>
      </c>
      <c r="O72" s="61">
        <f t="shared" si="3"/>
        <v>2111882041.3800001</v>
      </c>
      <c r="P72" s="96" t="s">
        <v>73</v>
      </c>
      <c r="Q72" s="121" t="s">
        <v>434</v>
      </c>
      <c r="R72" s="3"/>
      <c r="S72" s="5"/>
    </row>
    <row r="73" spans="1:19" s="9" customFormat="1" ht="15" customHeight="1" x14ac:dyDescent="0.25">
      <c r="A73" s="238" t="s">
        <v>149</v>
      </c>
      <c r="B73" s="239"/>
      <c r="C73" s="240"/>
      <c r="D73" s="110"/>
      <c r="E73" s="110"/>
      <c r="F73" s="63"/>
      <c r="G73" s="63"/>
      <c r="H73" s="63"/>
      <c r="I73" s="63" t="s">
        <v>27</v>
      </c>
      <c r="J73" s="14">
        <f>SUMIF($I$66:$I$72,I73,$J$66:$J$72)</f>
        <v>3500000</v>
      </c>
      <c r="K73" s="14">
        <f>SUMIF($I$66:$I$72,I73,$K$66:$K$72)</f>
        <v>3500000</v>
      </c>
      <c r="L73" s="14"/>
      <c r="M73" s="14">
        <f>SUMIF($I$66:$I$72,I73,$M$66:$M$72)</f>
        <v>1102000</v>
      </c>
      <c r="N73" s="14">
        <f>SUMIF($I$66:$I$72,I73,$N$66:$N$72)</f>
        <v>468630.42258194601</v>
      </c>
      <c r="O73" s="14">
        <f>SUMIF($I$66:$I$72,I73,$O$66:$O$72)</f>
        <v>2398000</v>
      </c>
      <c r="P73" s="92"/>
      <c r="Q73" s="122"/>
      <c r="R73" s="8"/>
      <c r="S73" s="5"/>
    </row>
    <row r="74" spans="1:19" s="9" customFormat="1" ht="15" customHeight="1" x14ac:dyDescent="0.25">
      <c r="A74" s="238"/>
      <c r="B74" s="239"/>
      <c r="C74" s="240"/>
      <c r="D74" s="33"/>
      <c r="E74" s="33"/>
      <c r="F74" s="42"/>
      <c r="G74" s="42"/>
      <c r="H74" s="42"/>
      <c r="I74" s="42" t="s">
        <v>2</v>
      </c>
      <c r="J74" s="11">
        <f>SUMIF($I$66:$I$72,I74,$J$66:$J$72)</f>
        <v>80315196700</v>
      </c>
      <c r="K74" s="11">
        <f>SUMIF($I$66:$I$72,I74,$K$66:$K$72)</f>
        <v>80315196700</v>
      </c>
      <c r="L74" s="11"/>
      <c r="M74" s="11">
        <f>SUMIF($I$66:$I$72,I74,$M$66:$M$72)</f>
        <v>69321574478.540009</v>
      </c>
      <c r="N74" s="11">
        <f>SUMIF($I$66:$I$72,I74,$N$66:$N$72)</f>
        <v>28894728966.130005</v>
      </c>
      <c r="O74" s="11">
        <f>SUMIF($I$66:$I$72,I74,$O$66:$O$72)</f>
        <v>10993622221.45998</v>
      </c>
      <c r="P74" s="88"/>
      <c r="Q74" s="117"/>
      <c r="R74" s="8"/>
      <c r="S74" s="5"/>
    </row>
    <row r="75" spans="1:19" s="9" customFormat="1" ht="15" customHeight="1" x14ac:dyDescent="0.25">
      <c r="A75" s="238"/>
      <c r="B75" s="239"/>
      <c r="C75" s="240"/>
      <c r="D75" s="33"/>
      <c r="E75" s="33"/>
      <c r="F75" s="42"/>
      <c r="G75" s="42"/>
      <c r="H75" s="42"/>
      <c r="I75" s="42" t="s">
        <v>49</v>
      </c>
      <c r="J75" s="11">
        <f>SUMIF($I$66:$I$72,I75,$J$66:$J$72)</f>
        <v>4517937.9000000004</v>
      </c>
      <c r="K75" s="11">
        <f>SUMIF($I$66:$I$72,I75,$K$66:$K$72)</f>
        <v>4517937.9000000004</v>
      </c>
      <c r="L75" s="11"/>
      <c r="M75" s="11">
        <f>SUMIF($I$66:$I$72,I75,$M$66:$M$72)</f>
        <v>2255296.73</v>
      </c>
      <c r="N75" s="11">
        <f>SUMIF($I$66:$I$72,I75,$N$66:$N$72)</f>
        <v>3942616.4400000004</v>
      </c>
      <c r="O75" s="11">
        <f>SUMIF($I$66:$I$72,I75,$O$66:$O$72)</f>
        <v>2262641.17</v>
      </c>
      <c r="P75" s="88"/>
      <c r="Q75" s="117"/>
      <c r="R75" s="8"/>
      <c r="S75" s="5"/>
    </row>
    <row r="76" spans="1:19" s="9" customFormat="1" ht="15" customHeight="1" thickBot="1" x14ac:dyDescent="0.3">
      <c r="A76" s="241"/>
      <c r="B76" s="242"/>
      <c r="C76" s="243"/>
      <c r="D76" s="107"/>
      <c r="E76" s="107"/>
      <c r="F76" s="45"/>
      <c r="G76" s="45"/>
      <c r="H76" s="45"/>
      <c r="I76" s="45" t="s">
        <v>69</v>
      </c>
      <c r="J76" s="12">
        <f>SUMIF($I$66:$I$72,I76,$J$66:$J$72)</f>
        <v>0</v>
      </c>
      <c r="K76" s="12">
        <f>SUMIF($I$66:$I$72,I76,$K$66:$K$72)</f>
        <v>0</v>
      </c>
      <c r="L76" s="12"/>
      <c r="M76" s="12">
        <f>SUMIF($I$66:$I$72,I76,$M$66:$M$72)</f>
        <v>0</v>
      </c>
      <c r="N76" s="12">
        <f>SUMIF($I$66:$I$72,I76,$N$66:$N$72)</f>
        <v>0</v>
      </c>
      <c r="O76" s="12">
        <f>SUMIF($I$66:$I$72,I76,$O$66:$O$72)</f>
        <v>0</v>
      </c>
      <c r="P76" s="90"/>
      <c r="Q76" s="119"/>
      <c r="R76" s="8"/>
      <c r="S76" s="5"/>
    </row>
    <row r="77" spans="1:19" s="2" customFormat="1" ht="77.25" customHeight="1" outlineLevel="1" x14ac:dyDescent="0.25">
      <c r="A77" s="129">
        <v>40</v>
      </c>
      <c r="B77" s="136" t="s">
        <v>150</v>
      </c>
      <c r="C77" s="130" t="s">
        <v>151</v>
      </c>
      <c r="D77" s="157" t="s">
        <v>90</v>
      </c>
      <c r="E77" s="157"/>
      <c r="F77" s="164" t="s">
        <v>436</v>
      </c>
      <c r="G77" s="157" t="s">
        <v>322</v>
      </c>
      <c r="H77" s="130" t="s">
        <v>152</v>
      </c>
      <c r="I77" s="131" t="s">
        <v>49</v>
      </c>
      <c r="J77" s="152">
        <v>361332</v>
      </c>
      <c r="K77" s="152">
        <v>361332</v>
      </c>
      <c r="L77" s="151">
        <v>7.7700000000000005E-2</v>
      </c>
      <c r="M77" s="152">
        <f>219031+1000000/388.24</f>
        <v>221606.72635483206</v>
      </c>
      <c r="N77" s="152">
        <f>187530</f>
        <v>187530</v>
      </c>
      <c r="O77" s="132">
        <f>K77-M77</f>
        <v>139725.27364516794</v>
      </c>
      <c r="P77" s="84" t="s">
        <v>153</v>
      </c>
      <c r="Q77" s="146" t="s">
        <v>437</v>
      </c>
      <c r="R77" s="1"/>
      <c r="S77" s="5"/>
    </row>
    <row r="78" spans="1:19" ht="64.5" customHeight="1" outlineLevel="1" x14ac:dyDescent="0.25">
      <c r="A78" s="129">
        <v>41</v>
      </c>
      <c r="B78" s="136" t="s">
        <v>154</v>
      </c>
      <c r="C78" s="130" t="s">
        <v>155</v>
      </c>
      <c r="D78" s="163" t="s">
        <v>114</v>
      </c>
      <c r="E78" s="163"/>
      <c r="F78" s="163" t="s">
        <v>433</v>
      </c>
      <c r="G78" s="134" t="s">
        <v>323</v>
      </c>
      <c r="H78" s="152" t="s">
        <v>156</v>
      </c>
      <c r="I78" s="131" t="s">
        <v>27</v>
      </c>
      <c r="J78" s="152">
        <v>8000000</v>
      </c>
      <c r="K78" s="152">
        <v>80000</v>
      </c>
      <c r="L78" s="151" t="s">
        <v>42</v>
      </c>
      <c r="M78" s="152">
        <f>10909.09+3636.36+3636.36+1428217/392.76+1554016/427.35+3636.4+3632.85+3636.4</f>
        <v>36360.221703756208</v>
      </c>
      <c r="N78" s="152">
        <f>105386.95+361.72+42360.02+4761284/392.76+5116448/427.35+12019.8+11989.6+11973.65</f>
        <v>208186.86988818215</v>
      </c>
      <c r="O78" s="132">
        <f>K78-M78</f>
        <v>43639.778296243792</v>
      </c>
      <c r="P78" s="84" t="s">
        <v>157</v>
      </c>
      <c r="Q78" s="97" t="s">
        <v>434</v>
      </c>
      <c r="S78" s="5"/>
    </row>
    <row r="79" spans="1:19" ht="63" customHeight="1" outlineLevel="1" x14ac:dyDescent="0.25">
      <c r="A79" s="129">
        <v>42</v>
      </c>
      <c r="B79" s="136" t="s">
        <v>154</v>
      </c>
      <c r="C79" s="130" t="s">
        <v>158</v>
      </c>
      <c r="D79" s="163" t="s">
        <v>122</v>
      </c>
      <c r="E79" s="163"/>
      <c r="F79" s="163" t="s">
        <v>433</v>
      </c>
      <c r="G79" s="134" t="s">
        <v>324</v>
      </c>
      <c r="H79" s="152" t="s">
        <v>156</v>
      </c>
      <c r="I79" s="131" t="s">
        <v>27</v>
      </c>
      <c r="J79" s="152">
        <v>8000000</v>
      </c>
      <c r="K79" s="152"/>
      <c r="L79" s="151" t="s">
        <v>42</v>
      </c>
      <c r="M79" s="152"/>
      <c r="N79" s="152"/>
      <c r="O79" s="132">
        <f>K79-M79</f>
        <v>0</v>
      </c>
      <c r="P79" s="84" t="s">
        <v>157</v>
      </c>
      <c r="Q79" s="97" t="s">
        <v>434</v>
      </c>
      <c r="S79" s="5"/>
    </row>
    <row r="80" spans="1:19" ht="71.25" customHeight="1" outlineLevel="1" x14ac:dyDescent="0.25">
      <c r="A80" s="250">
        <v>43</v>
      </c>
      <c r="B80" s="252" t="s">
        <v>159</v>
      </c>
      <c r="C80" s="247" t="s">
        <v>257</v>
      </c>
      <c r="D80" s="163" t="s">
        <v>114</v>
      </c>
      <c r="E80" s="163"/>
      <c r="F80" s="163" t="s">
        <v>433</v>
      </c>
      <c r="G80" s="134" t="s">
        <v>325</v>
      </c>
      <c r="H80" s="247" t="s">
        <v>271</v>
      </c>
      <c r="I80" s="131" t="s">
        <v>27</v>
      </c>
      <c r="J80" s="152">
        <v>5500000</v>
      </c>
      <c r="K80" s="152">
        <f>1384955.78+492272.39+301757.1+219245.55+25340.75+40551.45+228066.75+500000</f>
        <v>3192189.77</v>
      </c>
      <c r="L80" s="151" t="s">
        <v>42</v>
      </c>
      <c r="M80" s="152"/>
      <c r="N80" s="152"/>
      <c r="O80" s="132">
        <f t="shared" ref="O80:O104" si="4">K80-M80</f>
        <v>3192189.77</v>
      </c>
      <c r="P80" s="84" t="s">
        <v>73</v>
      </c>
      <c r="Q80" s="97" t="s">
        <v>437</v>
      </c>
      <c r="S80" s="5"/>
    </row>
    <row r="81" spans="1:19" ht="74.25" customHeight="1" outlineLevel="1" x14ac:dyDescent="0.25">
      <c r="A81" s="251"/>
      <c r="B81" s="253"/>
      <c r="C81" s="248"/>
      <c r="D81" s="163" t="s">
        <v>418</v>
      </c>
      <c r="E81" s="163"/>
      <c r="F81" s="163" t="s">
        <v>435</v>
      </c>
      <c r="G81" s="134"/>
      <c r="H81" s="248"/>
      <c r="I81" s="135" t="s">
        <v>2</v>
      </c>
      <c r="J81" s="152">
        <v>92733053.200000003</v>
      </c>
      <c r="K81" s="152">
        <f>92733053.2+20276600+1679251+16492341.9+20399976.4+42969092+26833268.5</f>
        <v>221383583</v>
      </c>
      <c r="L81" s="151"/>
      <c r="M81" s="152"/>
      <c r="N81" s="152"/>
      <c r="O81" s="132">
        <f t="shared" si="4"/>
        <v>221383583</v>
      </c>
      <c r="P81" s="84"/>
      <c r="Q81" s="97" t="s">
        <v>437</v>
      </c>
      <c r="S81" s="5"/>
    </row>
    <row r="82" spans="1:19" ht="80.25" customHeight="1" outlineLevel="1" x14ac:dyDescent="0.25">
      <c r="A82" s="129">
        <v>44</v>
      </c>
      <c r="B82" s="136" t="s">
        <v>160</v>
      </c>
      <c r="C82" s="130" t="s">
        <v>161</v>
      </c>
      <c r="D82" s="130" t="s">
        <v>418</v>
      </c>
      <c r="E82" s="130"/>
      <c r="F82" s="135" t="s">
        <v>433</v>
      </c>
      <c r="G82" s="134" t="s">
        <v>326</v>
      </c>
      <c r="H82" s="152" t="s">
        <v>162</v>
      </c>
      <c r="I82" s="135" t="s">
        <v>2</v>
      </c>
      <c r="J82" s="152">
        <v>249300000</v>
      </c>
      <c r="K82" s="152">
        <v>249300000</v>
      </c>
      <c r="L82" s="153">
        <v>1E-3</v>
      </c>
      <c r="M82" s="152">
        <f>42881892.9</f>
        <v>42881892.899999999</v>
      </c>
      <c r="N82" s="152">
        <f>528153.5</f>
        <v>528153.5</v>
      </c>
      <c r="O82" s="132">
        <f t="shared" si="4"/>
        <v>206418107.09999999</v>
      </c>
      <c r="P82" s="84" t="s">
        <v>73</v>
      </c>
      <c r="Q82" s="97" t="s">
        <v>434</v>
      </c>
      <c r="S82" s="5"/>
    </row>
    <row r="83" spans="1:19" ht="148.5" outlineLevel="1" x14ac:dyDescent="0.25">
      <c r="A83" s="129">
        <v>45</v>
      </c>
      <c r="B83" s="161" t="s">
        <v>104</v>
      </c>
      <c r="C83" s="156" t="s">
        <v>105</v>
      </c>
      <c r="D83" s="163" t="s">
        <v>98</v>
      </c>
      <c r="E83" s="163"/>
      <c r="F83" s="163" t="s">
        <v>433</v>
      </c>
      <c r="G83" s="167" t="s">
        <v>327</v>
      </c>
      <c r="H83" s="169" t="s">
        <v>106</v>
      </c>
      <c r="I83" s="131" t="s">
        <v>49</v>
      </c>
      <c r="J83" s="152">
        <v>4000000</v>
      </c>
      <c r="K83" s="152">
        <v>1325350.5999999999</v>
      </c>
      <c r="L83" s="151" t="s">
        <v>42</v>
      </c>
      <c r="M83" s="152">
        <f>465353.9+34986668/397.71+41212635/391.46+40758842/387.15</f>
        <v>763882.69981118676</v>
      </c>
      <c r="N83" s="152">
        <f>188098.2+7483550/397.71+8032446/391.46+5274803/387.15</f>
        <v>241058.70097373266</v>
      </c>
      <c r="O83" s="141">
        <f>K83-M83</f>
        <v>561467.9001888131</v>
      </c>
      <c r="P83" s="156" t="s">
        <v>107</v>
      </c>
      <c r="Q83" s="145" t="s">
        <v>434</v>
      </c>
      <c r="S83" s="5"/>
    </row>
    <row r="84" spans="1:19" s="4" customFormat="1" ht="27" outlineLevel="1" x14ac:dyDescent="0.25">
      <c r="A84" s="129">
        <v>46</v>
      </c>
      <c r="B84" s="136" t="s">
        <v>163</v>
      </c>
      <c r="C84" s="130" t="s">
        <v>129</v>
      </c>
      <c r="D84" s="135" t="s">
        <v>421</v>
      </c>
      <c r="E84" s="135"/>
      <c r="F84" s="135" t="s">
        <v>408</v>
      </c>
      <c r="G84" s="135" t="s">
        <v>328</v>
      </c>
      <c r="H84" s="135" t="s">
        <v>280</v>
      </c>
      <c r="I84" s="135" t="s">
        <v>2</v>
      </c>
      <c r="J84" s="47">
        <v>50600000</v>
      </c>
      <c r="K84" s="152">
        <v>50600000</v>
      </c>
      <c r="L84" s="136" t="s">
        <v>164</v>
      </c>
      <c r="M84" s="152"/>
      <c r="N84" s="152"/>
      <c r="O84" s="47">
        <f t="shared" si="4"/>
        <v>50600000</v>
      </c>
      <c r="P84" s="84" t="s">
        <v>73</v>
      </c>
      <c r="Q84" s="97" t="s">
        <v>437</v>
      </c>
      <c r="R84" s="3"/>
      <c r="S84" s="5"/>
    </row>
    <row r="85" spans="1:19" s="4" customFormat="1" ht="40.5" customHeight="1" outlineLevel="1" x14ac:dyDescent="0.25">
      <c r="A85" s="129">
        <v>47</v>
      </c>
      <c r="B85" s="136" t="s">
        <v>163</v>
      </c>
      <c r="C85" s="130" t="s">
        <v>129</v>
      </c>
      <c r="D85" s="135" t="s">
        <v>421</v>
      </c>
      <c r="E85" s="135"/>
      <c r="F85" s="135" t="s">
        <v>408</v>
      </c>
      <c r="G85" s="135" t="s">
        <v>329</v>
      </c>
      <c r="H85" s="135" t="s">
        <v>281</v>
      </c>
      <c r="I85" s="130" t="s">
        <v>2</v>
      </c>
      <c r="J85" s="47">
        <v>1100000000</v>
      </c>
      <c r="K85" s="152">
        <v>1100000000</v>
      </c>
      <c r="L85" s="136" t="s">
        <v>164</v>
      </c>
      <c r="M85" s="152"/>
      <c r="N85" s="152"/>
      <c r="O85" s="47">
        <f t="shared" si="4"/>
        <v>1100000000</v>
      </c>
      <c r="P85" s="252" t="s">
        <v>260</v>
      </c>
      <c r="Q85" s="97" t="s">
        <v>437</v>
      </c>
      <c r="R85" s="3"/>
      <c r="S85" s="5"/>
    </row>
    <row r="86" spans="1:19" s="4" customFormat="1" ht="27" outlineLevel="1" x14ac:dyDescent="0.25">
      <c r="A86" s="129">
        <v>48</v>
      </c>
      <c r="B86" s="136" t="s">
        <v>163</v>
      </c>
      <c r="C86" s="130" t="s">
        <v>129</v>
      </c>
      <c r="D86" s="135" t="s">
        <v>421</v>
      </c>
      <c r="E86" s="135"/>
      <c r="F86" s="135" t="s">
        <v>408</v>
      </c>
      <c r="G86" s="135" t="s">
        <v>330</v>
      </c>
      <c r="H86" s="135" t="s">
        <v>282</v>
      </c>
      <c r="I86" s="130" t="s">
        <v>2</v>
      </c>
      <c r="J86" s="47">
        <v>792386600</v>
      </c>
      <c r="K86" s="152">
        <v>791031693</v>
      </c>
      <c r="L86" s="136" t="s">
        <v>164</v>
      </c>
      <c r="M86" s="152"/>
      <c r="N86" s="152"/>
      <c r="O86" s="47">
        <f t="shared" si="4"/>
        <v>791031693</v>
      </c>
      <c r="P86" s="256"/>
      <c r="Q86" s="97" t="s">
        <v>437</v>
      </c>
      <c r="R86" s="3"/>
      <c r="S86" s="5"/>
    </row>
    <row r="87" spans="1:19" s="4" customFormat="1" ht="27" outlineLevel="1" x14ac:dyDescent="0.25">
      <c r="A87" s="129">
        <v>49</v>
      </c>
      <c r="B87" s="136" t="s">
        <v>163</v>
      </c>
      <c r="C87" s="130" t="s">
        <v>129</v>
      </c>
      <c r="D87" s="135" t="s">
        <v>421</v>
      </c>
      <c r="E87" s="135"/>
      <c r="F87" s="135" t="s">
        <v>408</v>
      </c>
      <c r="G87" s="135" t="s">
        <v>331</v>
      </c>
      <c r="H87" s="135" t="s">
        <v>283</v>
      </c>
      <c r="I87" s="130" t="s">
        <v>2</v>
      </c>
      <c r="J87" s="47">
        <v>254672300</v>
      </c>
      <c r="K87" s="152">
        <f>168444408+75498000+5196300+5196300</f>
        <v>254335008</v>
      </c>
      <c r="L87" s="136" t="s">
        <v>164</v>
      </c>
      <c r="M87" s="152"/>
      <c r="N87" s="152"/>
      <c r="O87" s="47">
        <f t="shared" si="4"/>
        <v>254335008</v>
      </c>
      <c r="P87" s="253"/>
      <c r="Q87" s="97" t="s">
        <v>437</v>
      </c>
      <c r="R87" s="3"/>
      <c r="S87" s="5"/>
    </row>
    <row r="88" spans="1:19" s="4" customFormat="1" ht="40.5" outlineLevel="1" x14ac:dyDescent="0.25">
      <c r="A88" s="129">
        <v>50</v>
      </c>
      <c r="B88" s="136" t="s">
        <v>165</v>
      </c>
      <c r="C88" s="130" t="s">
        <v>129</v>
      </c>
      <c r="D88" s="135" t="s">
        <v>418</v>
      </c>
      <c r="E88" s="135"/>
      <c r="F88" s="135"/>
      <c r="G88" s="135" t="s">
        <v>332</v>
      </c>
      <c r="H88" s="135" t="s">
        <v>166</v>
      </c>
      <c r="I88" s="130" t="s">
        <v>2</v>
      </c>
      <c r="J88" s="47">
        <v>88731015</v>
      </c>
      <c r="K88" s="152">
        <v>88731000</v>
      </c>
      <c r="L88" s="49">
        <v>8.5000000000000006E-2</v>
      </c>
      <c r="M88" s="152">
        <f>88731000</f>
        <v>88731000</v>
      </c>
      <c r="N88" s="152">
        <f>1591081+30000000</f>
        <v>31591081</v>
      </c>
      <c r="O88" s="47">
        <f t="shared" si="4"/>
        <v>0</v>
      </c>
      <c r="P88" s="85" t="s">
        <v>167</v>
      </c>
      <c r="Q88" s="120" t="s">
        <v>437</v>
      </c>
      <c r="R88" s="3"/>
      <c r="S88" s="5"/>
    </row>
    <row r="89" spans="1:19" ht="81" outlineLevel="1" x14ac:dyDescent="0.25">
      <c r="A89" s="129">
        <v>51</v>
      </c>
      <c r="B89" s="161" t="s">
        <v>169</v>
      </c>
      <c r="C89" s="156" t="s">
        <v>168</v>
      </c>
      <c r="D89" s="156" t="s">
        <v>139</v>
      </c>
      <c r="E89" s="156"/>
      <c r="F89" s="163" t="s">
        <v>408</v>
      </c>
      <c r="G89" s="130" t="s">
        <v>333</v>
      </c>
      <c r="H89" s="130" t="s">
        <v>170</v>
      </c>
      <c r="I89" s="130" t="s">
        <v>49</v>
      </c>
      <c r="J89" s="50">
        <v>8944984.0899999999</v>
      </c>
      <c r="K89" s="152">
        <v>8944984.0899999999</v>
      </c>
      <c r="L89" s="51">
        <v>7.4999999999999997E-3</v>
      </c>
      <c r="M89" s="152">
        <f>2425758.4+151609.9+151609.9+151609.9+151609.9</f>
        <v>3032197.9999999995</v>
      </c>
      <c r="N89" s="152">
        <f>881276.03+25084.35+24380.12+23943.98+23373.89+22803.79</f>
        <v>1000862.16</v>
      </c>
      <c r="O89" s="132">
        <f t="shared" si="4"/>
        <v>5912786.0899999999</v>
      </c>
      <c r="P89" s="125" t="s">
        <v>73</v>
      </c>
      <c r="Q89" s="145" t="s">
        <v>434</v>
      </c>
      <c r="S89" s="5"/>
    </row>
    <row r="90" spans="1:19" ht="55.5" customHeight="1" outlineLevel="1" x14ac:dyDescent="0.25">
      <c r="A90" s="250">
        <v>52</v>
      </c>
      <c r="B90" s="252" t="s">
        <v>171</v>
      </c>
      <c r="C90" s="247" t="s">
        <v>168</v>
      </c>
      <c r="D90" s="247" t="s">
        <v>139</v>
      </c>
      <c r="E90" s="156"/>
      <c r="F90" s="163" t="s">
        <v>408</v>
      </c>
      <c r="G90" s="247" t="s">
        <v>334</v>
      </c>
      <c r="H90" s="130" t="s">
        <v>172</v>
      </c>
      <c r="I90" s="130" t="s">
        <v>49</v>
      </c>
      <c r="J90" s="50">
        <v>5217725</v>
      </c>
      <c r="K90" s="152">
        <v>5217725</v>
      </c>
      <c r="L90" s="51">
        <v>7.4999999999999997E-3</v>
      </c>
      <c r="M90" s="152">
        <f>782658.5+52177.25+52177.25+52177.25+52177.25</f>
        <v>991367.5</v>
      </c>
      <c r="N90" s="152">
        <f>538816.19+16480.36+16284.66+16088.46</f>
        <v>587669.66999999993</v>
      </c>
      <c r="O90" s="132">
        <f t="shared" si="4"/>
        <v>4226357.5</v>
      </c>
      <c r="P90" s="247" t="s">
        <v>73</v>
      </c>
      <c r="Q90" s="97" t="s">
        <v>434</v>
      </c>
      <c r="S90" s="5"/>
    </row>
    <row r="91" spans="1:19" ht="55.5" customHeight="1" outlineLevel="1" x14ac:dyDescent="0.25">
      <c r="A91" s="251"/>
      <c r="B91" s="253"/>
      <c r="C91" s="248"/>
      <c r="D91" s="248"/>
      <c r="E91" s="158"/>
      <c r="F91" s="163" t="s">
        <v>408</v>
      </c>
      <c r="G91" s="248"/>
      <c r="H91" s="130" t="s">
        <v>172</v>
      </c>
      <c r="I91" s="130" t="s">
        <v>2</v>
      </c>
      <c r="J91" s="50">
        <v>93025000</v>
      </c>
      <c r="K91" s="152">
        <v>93025000</v>
      </c>
      <c r="L91" s="51">
        <v>7.4999999999999997E-3</v>
      </c>
      <c r="M91" s="152">
        <f>13953750+930250+930250+930250+930250</f>
        <v>17674750</v>
      </c>
      <c r="N91" s="152">
        <f>9237334.28+296030+287830+287830</f>
        <v>10109024.279999999</v>
      </c>
      <c r="O91" s="132">
        <f t="shared" si="4"/>
        <v>75350250</v>
      </c>
      <c r="P91" s="248"/>
      <c r="Q91" s="147" t="s">
        <v>434</v>
      </c>
      <c r="S91" s="5"/>
    </row>
    <row r="92" spans="1:19" ht="81" outlineLevel="1" x14ac:dyDescent="0.25">
      <c r="A92" s="129">
        <v>53</v>
      </c>
      <c r="B92" s="161" t="s">
        <v>173</v>
      </c>
      <c r="C92" s="156" t="s">
        <v>168</v>
      </c>
      <c r="D92" s="156" t="s">
        <v>139</v>
      </c>
      <c r="E92" s="156"/>
      <c r="F92" s="163" t="s">
        <v>408</v>
      </c>
      <c r="G92" s="130" t="s">
        <v>335</v>
      </c>
      <c r="H92" s="130" t="s">
        <v>174</v>
      </c>
      <c r="I92" s="130" t="s">
        <v>49</v>
      </c>
      <c r="J92" s="50">
        <v>1989000</v>
      </c>
      <c r="K92" s="152">
        <v>1989000</v>
      </c>
      <c r="L92" s="51">
        <v>7.4999999999999997E-3</v>
      </c>
      <c r="M92" s="152">
        <f>337118.7+33711.86+33711.86+33711.86+33712</f>
        <v>471966.27999999997</v>
      </c>
      <c r="N92" s="152">
        <f>177150.18+6084.76+5957.99+5831.23</f>
        <v>195024.16</v>
      </c>
      <c r="O92" s="132">
        <f t="shared" si="4"/>
        <v>1517033.72</v>
      </c>
      <c r="P92" s="125" t="s">
        <v>73</v>
      </c>
      <c r="Q92" s="145" t="s">
        <v>434</v>
      </c>
      <c r="S92" s="5"/>
    </row>
    <row r="93" spans="1:19" ht="94.5" outlineLevel="1" x14ac:dyDescent="0.25">
      <c r="A93" s="129">
        <v>54</v>
      </c>
      <c r="B93" s="161" t="s">
        <v>284</v>
      </c>
      <c r="C93" s="156" t="s">
        <v>285</v>
      </c>
      <c r="D93" s="156" t="s">
        <v>139</v>
      </c>
      <c r="E93" s="156"/>
      <c r="F93" s="163" t="s">
        <v>408</v>
      </c>
      <c r="G93" s="156" t="s">
        <v>336</v>
      </c>
      <c r="H93" s="156" t="s">
        <v>286</v>
      </c>
      <c r="I93" s="130" t="s">
        <v>2</v>
      </c>
      <c r="J93" s="50">
        <v>2047212646</v>
      </c>
      <c r="K93" s="169">
        <v>2047212646</v>
      </c>
      <c r="L93" s="51">
        <v>0.02</v>
      </c>
      <c r="M93" s="152">
        <v>0</v>
      </c>
      <c r="N93" s="152">
        <f>88017538.4+20640391+20640391+20303862+20640391</f>
        <v>170242573.40000001</v>
      </c>
      <c r="O93" s="132">
        <f t="shared" si="4"/>
        <v>2047212646</v>
      </c>
      <c r="P93" s="125" t="s">
        <v>73</v>
      </c>
      <c r="Q93" s="145" t="s">
        <v>434</v>
      </c>
      <c r="S93" s="5"/>
    </row>
    <row r="94" spans="1:19" ht="144" customHeight="1" outlineLevel="1" x14ac:dyDescent="0.25">
      <c r="A94" s="159">
        <v>55</v>
      </c>
      <c r="B94" s="161" t="s">
        <v>175</v>
      </c>
      <c r="C94" s="156" t="s">
        <v>176</v>
      </c>
      <c r="D94" s="156" t="s">
        <v>90</v>
      </c>
      <c r="E94" s="156"/>
      <c r="F94" s="156" t="s">
        <v>408</v>
      </c>
      <c r="G94" s="156" t="s">
        <v>430</v>
      </c>
      <c r="H94" s="156" t="s">
        <v>177</v>
      </c>
      <c r="I94" s="130" t="s">
        <v>49</v>
      </c>
      <c r="J94" s="50">
        <v>2217000</v>
      </c>
      <c r="K94" s="50">
        <v>2217000</v>
      </c>
      <c r="L94" s="52">
        <v>0.02</v>
      </c>
      <c r="M94" s="152">
        <f>1656550.78+18166.04+7000680/387.28+18122.86+18122.86+32122.86+28837.1+8000+8000+8000+20000+20000+20000+20000+20000+19994.32+20000+20000+8000</f>
        <v>1981993.3537740142</v>
      </c>
      <c r="N94" s="152">
        <f>133182.536922389+1443.51+1358.52+1365.7+1287.6+1303.23</f>
        <v>139941.09692238903</v>
      </c>
      <c r="O94" s="132">
        <f t="shared" si="4"/>
        <v>235006.64622598584</v>
      </c>
      <c r="P94" s="125" t="s">
        <v>178</v>
      </c>
      <c r="Q94" s="145" t="s">
        <v>434</v>
      </c>
      <c r="S94" s="5"/>
    </row>
    <row r="95" spans="1:19" ht="128.25" customHeight="1" outlineLevel="1" x14ac:dyDescent="0.25">
      <c r="A95" s="129">
        <v>56</v>
      </c>
      <c r="B95" s="136" t="s">
        <v>274</v>
      </c>
      <c r="C95" s="130" t="s">
        <v>275</v>
      </c>
      <c r="D95" s="130" t="s">
        <v>114</v>
      </c>
      <c r="E95" s="130"/>
      <c r="F95" s="135" t="s">
        <v>433</v>
      </c>
      <c r="G95" s="130" t="s">
        <v>337</v>
      </c>
      <c r="H95" s="156" t="s">
        <v>276</v>
      </c>
      <c r="I95" s="130" t="s">
        <v>27</v>
      </c>
      <c r="J95" s="50">
        <f>4199559.68+12720691.2+1113060.48+1966688.64</f>
        <v>20000000</v>
      </c>
      <c r="K95" s="50">
        <f>J95</f>
        <v>20000000</v>
      </c>
      <c r="L95" s="52" t="s">
        <v>277</v>
      </c>
      <c r="M95" s="152"/>
      <c r="N95" s="53">
        <f>77849.88+103888.1+413918.01+520635+494848.41</f>
        <v>1611139.4</v>
      </c>
      <c r="O95" s="132">
        <f t="shared" si="4"/>
        <v>20000000</v>
      </c>
      <c r="P95" s="125" t="s">
        <v>278</v>
      </c>
      <c r="Q95" s="97" t="s">
        <v>434</v>
      </c>
      <c r="S95" s="5"/>
    </row>
    <row r="96" spans="1:19" s="2" customFormat="1" ht="59.25" customHeight="1" outlineLevel="1" x14ac:dyDescent="0.25">
      <c r="A96" s="159"/>
      <c r="B96" s="161" t="s">
        <v>496</v>
      </c>
      <c r="C96" s="156"/>
      <c r="D96" s="130" t="s">
        <v>418</v>
      </c>
      <c r="E96" s="130" t="s">
        <v>501</v>
      </c>
      <c r="F96" s="135" t="s">
        <v>408</v>
      </c>
      <c r="G96" s="130" t="s">
        <v>501</v>
      </c>
      <c r="H96" s="130" t="s">
        <v>503</v>
      </c>
      <c r="I96" s="130" t="s">
        <v>2</v>
      </c>
      <c r="J96" s="152">
        <v>250000000</v>
      </c>
      <c r="K96" s="152">
        <v>250000000</v>
      </c>
      <c r="L96" s="128"/>
      <c r="M96" s="169"/>
      <c r="N96" s="169"/>
      <c r="O96" s="141"/>
      <c r="P96" s="125"/>
      <c r="Q96" s="97" t="s">
        <v>437</v>
      </c>
      <c r="R96" s="1"/>
      <c r="S96" s="5"/>
    </row>
    <row r="97" spans="1:19" s="4" customFormat="1" ht="38.25" customHeight="1" outlineLevel="1" x14ac:dyDescent="0.25">
      <c r="A97" s="250">
        <v>57</v>
      </c>
      <c r="B97" s="252" t="s">
        <v>179</v>
      </c>
      <c r="C97" s="247" t="s">
        <v>180</v>
      </c>
      <c r="D97" s="247"/>
      <c r="E97" s="158"/>
      <c r="F97" s="172"/>
      <c r="G97" s="254" t="s">
        <v>338</v>
      </c>
      <c r="H97" s="254" t="s">
        <v>181</v>
      </c>
      <c r="I97" s="131" t="s">
        <v>49</v>
      </c>
      <c r="J97" s="47">
        <v>237758.39</v>
      </c>
      <c r="K97" s="152">
        <v>237758.39</v>
      </c>
      <c r="L97" s="153"/>
      <c r="M97" s="152"/>
      <c r="N97" s="152"/>
      <c r="O97" s="47">
        <f t="shared" si="4"/>
        <v>237758.39</v>
      </c>
      <c r="P97" s="247" t="s">
        <v>73</v>
      </c>
      <c r="Q97" s="97" t="s">
        <v>434</v>
      </c>
      <c r="R97" s="3"/>
      <c r="S97" s="5"/>
    </row>
    <row r="98" spans="1:19" s="4" customFormat="1" ht="45" customHeight="1" outlineLevel="1" x14ac:dyDescent="0.25">
      <c r="A98" s="251"/>
      <c r="B98" s="253"/>
      <c r="C98" s="248"/>
      <c r="D98" s="248"/>
      <c r="E98" s="157"/>
      <c r="F98" s="157"/>
      <c r="G98" s="255"/>
      <c r="H98" s="255"/>
      <c r="I98" s="37" t="s">
        <v>2</v>
      </c>
      <c r="J98" s="54">
        <v>28883700</v>
      </c>
      <c r="K98" s="152">
        <v>28883700</v>
      </c>
      <c r="L98" s="128"/>
      <c r="M98" s="152"/>
      <c r="N98" s="152"/>
      <c r="O98" s="47">
        <f t="shared" si="4"/>
        <v>28883700</v>
      </c>
      <c r="P98" s="248"/>
      <c r="Q98" s="146" t="s">
        <v>434</v>
      </c>
      <c r="R98" s="3"/>
      <c r="S98" s="5"/>
    </row>
    <row r="99" spans="1:19" s="2" customFormat="1" ht="59.25" customHeight="1" outlineLevel="1" x14ac:dyDescent="0.25">
      <c r="A99" s="159">
        <v>58</v>
      </c>
      <c r="B99" s="161" t="s">
        <v>108</v>
      </c>
      <c r="C99" s="156" t="s">
        <v>109</v>
      </c>
      <c r="D99" s="130" t="s">
        <v>418</v>
      </c>
      <c r="E99" s="130"/>
      <c r="F99" s="135"/>
      <c r="G99" s="130" t="s">
        <v>339</v>
      </c>
      <c r="H99" s="130" t="s">
        <v>110</v>
      </c>
      <c r="I99" s="130" t="s">
        <v>2</v>
      </c>
      <c r="J99" s="152">
        <v>303444194</v>
      </c>
      <c r="K99" s="169">
        <v>303444194</v>
      </c>
      <c r="L99" s="128"/>
      <c r="M99" s="169"/>
      <c r="N99" s="169"/>
      <c r="O99" s="141">
        <f t="shared" si="4"/>
        <v>303444194</v>
      </c>
      <c r="P99" s="125" t="s">
        <v>73</v>
      </c>
      <c r="Q99" s="97" t="s">
        <v>504</v>
      </c>
      <c r="R99" s="1"/>
      <c r="S99" s="5"/>
    </row>
    <row r="100" spans="1:19" s="5" customFormat="1" ht="54.75" customHeight="1" outlineLevel="1" x14ac:dyDescent="0.25">
      <c r="A100" s="159"/>
      <c r="B100" s="161" t="s">
        <v>468</v>
      </c>
      <c r="C100" s="156" t="s">
        <v>109</v>
      </c>
      <c r="D100" s="130" t="s">
        <v>418</v>
      </c>
      <c r="E100" s="130"/>
      <c r="F100" s="135"/>
      <c r="G100" s="130" t="s">
        <v>469</v>
      </c>
      <c r="H100" s="130" t="s">
        <v>470</v>
      </c>
      <c r="I100" s="131" t="s">
        <v>2</v>
      </c>
      <c r="J100" s="152">
        <v>29938264</v>
      </c>
      <c r="K100" s="152">
        <v>29938264</v>
      </c>
      <c r="L100" s="127"/>
      <c r="M100" s="152">
        <f>9000000+1000000+1000000+800000+200000+1000000</f>
        <v>13000000</v>
      </c>
      <c r="N100" s="152"/>
      <c r="O100" s="141">
        <f t="shared" si="4"/>
        <v>16938264</v>
      </c>
      <c r="P100" s="125" t="s">
        <v>73</v>
      </c>
      <c r="Q100" s="146" t="s">
        <v>434</v>
      </c>
      <c r="R100" s="8"/>
    </row>
    <row r="101" spans="1:19" s="5" customFormat="1" ht="88.5" customHeight="1" outlineLevel="1" x14ac:dyDescent="0.25">
      <c r="A101" s="159"/>
      <c r="B101" s="161" t="s">
        <v>475</v>
      </c>
      <c r="C101" s="156" t="s">
        <v>476</v>
      </c>
      <c r="D101" s="130" t="s">
        <v>418</v>
      </c>
      <c r="E101" s="130"/>
      <c r="F101" s="135" t="s">
        <v>408</v>
      </c>
      <c r="G101" s="130" t="s">
        <v>505</v>
      </c>
      <c r="H101" s="130" t="s">
        <v>506</v>
      </c>
      <c r="I101" s="131" t="s">
        <v>2</v>
      </c>
      <c r="J101" s="152">
        <v>1343651100</v>
      </c>
      <c r="K101" s="152">
        <v>1343651100</v>
      </c>
      <c r="L101" s="127">
        <v>7.2499999999999995E-2</v>
      </c>
      <c r="M101" s="152"/>
      <c r="N101" s="152"/>
      <c r="O101" s="141">
        <f t="shared" si="4"/>
        <v>1343651100</v>
      </c>
      <c r="P101" s="125" t="s">
        <v>73</v>
      </c>
      <c r="Q101" s="146" t="s">
        <v>437</v>
      </c>
      <c r="R101" s="8"/>
    </row>
    <row r="102" spans="1:19" ht="82.5" customHeight="1" x14ac:dyDescent="0.25">
      <c r="A102" s="129">
        <v>59</v>
      </c>
      <c r="B102" s="136" t="s">
        <v>407</v>
      </c>
      <c r="C102" s="130" t="s">
        <v>408</v>
      </c>
      <c r="D102" s="130" t="s">
        <v>418</v>
      </c>
      <c r="E102" s="130"/>
      <c r="F102" s="130" t="s">
        <v>408</v>
      </c>
      <c r="G102" s="130" t="s">
        <v>409</v>
      </c>
      <c r="H102" s="130" t="s">
        <v>410</v>
      </c>
      <c r="I102" s="130" t="s">
        <v>2</v>
      </c>
      <c r="J102" s="152">
        <v>1600000000</v>
      </c>
      <c r="K102" s="32">
        <v>1600000000</v>
      </c>
      <c r="L102" s="49">
        <v>0.06</v>
      </c>
      <c r="M102" s="32">
        <f>16666667+16666667</f>
        <v>33333334</v>
      </c>
      <c r="N102" s="32">
        <f>14728767+7827397</f>
        <v>22556164</v>
      </c>
      <c r="O102" s="47">
        <f t="shared" si="4"/>
        <v>1566666666</v>
      </c>
      <c r="P102" s="130" t="s">
        <v>411</v>
      </c>
      <c r="Q102" s="97" t="s">
        <v>437</v>
      </c>
      <c r="S102" s="5"/>
    </row>
    <row r="103" spans="1:19" ht="155.25" customHeight="1" x14ac:dyDescent="0.25">
      <c r="A103" s="160">
        <v>60</v>
      </c>
      <c r="B103" s="162" t="s">
        <v>422</v>
      </c>
      <c r="C103" s="130" t="s">
        <v>408</v>
      </c>
      <c r="D103" s="130" t="s">
        <v>418</v>
      </c>
      <c r="E103" s="157"/>
      <c r="F103" s="164" t="s">
        <v>408</v>
      </c>
      <c r="G103" s="157"/>
      <c r="H103" s="130" t="s">
        <v>423</v>
      </c>
      <c r="I103" s="130" t="s">
        <v>2</v>
      </c>
      <c r="J103" s="170">
        <v>3500000000</v>
      </c>
      <c r="K103" s="170">
        <v>3500000000</v>
      </c>
      <c r="L103" s="49">
        <v>0.08</v>
      </c>
      <c r="M103" s="94"/>
      <c r="N103" s="94"/>
      <c r="O103" s="47">
        <f t="shared" si="4"/>
        <v>3500000000</v>
      </c>
      <c r="P103" s="126" t="s">
        <v>424</v>
      </c>
      <c r="Q103" s="146" t="s">
        <v>434</v>
      </c>
      <c r="S103" s="5"/>
    </row>
    <row r="104" spans="1:19" s="2" customFormat="1" ht="47.25" customHeight="1" outlineLevel="1" x14ac:dyDescent="0.25">
      <c r="A104" s="160">
        <v>61</v>
      </c>
      <c r="B104" s="157" t="s">
        <v>425</v>
      </c>
      <c r="C104" s="157" t="s">
        <v>408</v>
      </c>
      <c r="D104" s="157" t="s">
        <v>418</v>
      </c>
      <c r="E104" s="157"/>
      <c r="F104" s="164" t="s">
        <v>408</v>
      </c>
      <c r="G104" s="82" t="s">
        <v>413</v>
      </c>
      <c r="H104" s="157" t="s">
        <v>256</v>
      </c>
      <c r="I104" s="157" t="s">
        <v>2</v>
      </c>
      <c r="J104" s="170">
        <v>2000000000</v>
      </c>
      <c r="K104" s="170">
        <v>2000000000</v>
      </c>
      <c r="L104" s="140">
        <v>1E-4</v>
      </c>
      <c r="M104" s="170">
        <f>122220000+82500000+82500000</f>
        <v>287220000</v>
      </c>
      <c r="N104" s="170">
        <f>175890.410958904+56590.6+7869.7</f>
        <v>240350.710958904</v>
      </c>
      <c r="O104" s="143">
        <f t="shared" si="4"/>
        <v>1712780000</v>
      </c>
      <c r="P104" s="126" t="s">
        <v>414</v>
      </c>
      <c r="Q104" s="146" t="s">
        <v>434</v>
      </c>
      <c r="R104" s="1"/>
      <c r="S104" s="5"/>
    </row>
    <row r="105" spans="1:19" s="2" customFormat="1" ht="47.25" customHeight="1" outlineLevel="1" x14ac:dyDescent="0.25">
      <c r="A105" s="160">
        <v>62</v>
      </c>
      <c r="B105" s="157" t="s">
        <v>182</v>
      </c>
      <c r="C105" s="157" t="s">
        <v>183</v>
      </c>
      <c r="D105" s="157" t="s">
        <v>426</v>
      </c>
      <c r="E105" s="157"/>
      <c r="F105" s="164" t="s">
        <v>408</v>
      </c>
      <c r="G105" s="82" t="s">
        <v>340</v>
      </c>
      <c r="H105" s="157" t="s">
        <v>184</v>
      </c>
      <c r="I105" s="157" t="s">
        <v>49</v>
      </c>
      <c r="J105" s="170">
        <v>10000000</v>
      </c>
      <c r="K105" s="170">
        <v>10000000</v>
      </c>
      <c r="L105" s="140" t="s">
        <v>185</v>
      </c>
      <c r="M105" s="170">
        <f>2553676.86+827369</f>
        <v>3381045.86</v>
      </c>
      <c r="N105" s="170">
        <f>3533579.15874841+18816925/512.41+16022937.4/426.85+37537.63+37130+36723+37538+'[2]15,08,20 գործող'!$I$55+'[2]15,08,20 գործող'!$I$56+121181+150151+150151+148518.45</f>
        <v>4401844.9204706866</v>
      </c>
      <c r="O105" s="143">
        <f>K105-M105</f>
        <v>6618954.1400000006</v>
      </c>
      <c r="P105" s="126" t="s">
        <v>186</v>
      </c>
      <c r="Q105" s="146" t="s">
        <v>434</v>
      </c>
      <c r="R105" s="1"/>
      <c r="S105" s="5"/>
    </row>
    <row r="106" spans="1:19" s="2" customFormat="1" ht="51" customHeight="1" outlineLevel="1" thickBot="1" x14ac:dyDescent="0.3">
      <c r="A106" s="129">
        <v>63</v>
      </c>
      <c r="B106" s="130" t="s">
        <v>182</v>
      </c>
      <c r="C106" s="95" t="s">
        <v>438</v>
      </c>
      <c r="D106" s="95" t="s">
        <v>426</v>
      </c>
      <c r="E106" s="95"/>
      <c r="F106" s="57" t="s">
        <v>408</v>
      </c>
      <c r="G106" s="111" t="s">
        <v>341</v>
      </c>
      <c r="H106" s="95" t="s">
        <v>187</v>
      </c>
      <c r="I106" s="95" t="s">
        <v>2</v>
      </c>
      <c r="J106" s="152">
        <v>8000000000</v>
      </c>
      <c r="K106" s="152">
        <v>8000000000</v>
      </c>
      <c r="L106" s="151" t="s">
        <v>188</v>
      </c>
      <c r="M106" s="152"/>
      <c r="N106" s="152">
        <f>3496438357+79342466+80657534+79342466+79342466+1315069+216021918+419419179</f>
        <v>4451879455</v>
      </c>
      <c r="O106" s="132">
        <f>K106-M106</f>
        <v>8000000000</v>
      </c>
      <c r="P106" s="84" t="s">
        <v>189</v>
      </c>
      <c r="Q106" s="97" t="s">
        <v>434</v>
      </c>
      <c r="R106" s="1"/>
      <c r="S106" s="5"/>
    </row>
    <row r="107" spans="1:19" s="9" customFormat="1" ht="24.75" customHeight="1" x14ac:dyDescent="0.25">
      <c r="A107" s="244" t="s">
        <v>190</v>
      </c>
      <c r="B107" s="245"/>
      <c r="C107" s="246"/>
      <c r="F107" s="63"/>
      <c r="G107" s="63"/>
      <c r="H107" s="63"/>
      <c r="I107" s="63" t="s">
        <v>27</v>
      </c>
      <c r="J107" s="13">
        <f>SUMIF($I$77:$I$106,I107,$J$77:$J$106)</f>
        <v>41500000</v>
      </c>
      <c r="K107" s="13">
        <f>SUMIF($I$77:$I$106,I107,$K$77:$K$106)</f>
        <v>23272189.77</v>
      </c>
      <c r="L107" s="13"/>
      <c r="M107" s="13">
        <f>SUMIF($I$77:$I$106,I107,$M$77:$M$106)</f>
        <v>36360.221703756208</v>
      </c>
      <c r="N107" s="13">
        <f>SUMIF($I$77:$I$106,I107,$N$77:$N$106)</f>
        <v>1819326.2698881822</v>
      </c>
      <c r="O107" s="13">
        <f>SUMIF($I$77:$I$106,I107,$O$77:$O$106)</f>
        <v>23235829.548296243</v>
      </c>
      <c r="P107" s="87"/>
      <c r="Q107" s="122"/>
      <c r="R107" s="8"/>
      <c r="S107" s="5"/>
    </row>
    <row r="108" spans="1:19" s="9" customFormat="1" ht="39" customHeight="1" x14ac:dyDescent="0.25">
      <c r="A108" s="238"/>
      <c r="B108" s="239"/>
      <c r="C108" s="240"/>
      <c r="D108" s="33"/>
      <c r="E108" s="33"/>
      <c r="F108" s="42"/>
      <c r="G108" s="42"/>
      <c r="H108" s="42"/>
      <c r="I108" s="42" t="s">
        <v>2</v>
      </c>
      <c r="J108" s="11">
        <f>SUMIF($I$77:$I$106,I108,$J$77:$J$106)</f>
        <v>21824577872.200001</v>
      </c>
      <c r="K108" s="11">
        <f>SUMIF($I$77:$I$106,I108,$K$77:$K$106)</f>
        <v>21951536188</v>
      </c>
      <c r="L108" s="11"/>
      <c r="M108" s="11">
        <f>SUMIF($I$77:$I$106,I108,$M$77:$M$106)</f>
        <v>482840976.89999998</v>
      </c>
      <c r="N108" s="11">
        <f>SUMIF($I$77:$I$106,I108,$N$77:$N$106)</f>
        <v>4687146801.8909588</v>
      </c>
      <c r="O108" s="11">
        <f>SUMIF($I$77:$I$106,I108,$O$77:$O$106)</f>
        <v>21218695211.099998</v>
      </c>
      <c r="P108" s="88"/>
      <c r="Q108" s="117"/>
      <c r="R108" s="8"/>
      <c r="S108" s="5"/>
    </row>
    <row r="109" spans="1:19" s="9" customFormat="1" ht="39" customHeight="1" x14ac:dyDescent="0.25">
      <c r="A109" s="238"/>
      <c r="B109" s="239"/>
      <c r="C109" s="240"/>
      <c r="D109" s="33"/>
      <c r="E109" s="33"/>
      <c r="F109" s="42"/>
      <c r="G109" s="42"/>
      <c r="H109" s="42"/>
      <c r="I109" s="42" t="s">
        <v>49</v>
      </c>
      <c r="J109" s="11">
        <f>SUMIF($I$77:$I$106,I109,$J$77:$J$106)</f>
        <v>32967799.48</v>
      </c>
      <c r="K109" s="11">
        <f>SUMIF($I$77:$I$106,I109,$K$77:$K$106)</f>
        <v>30293150.079999998</v>
      </c>
      <c r="L109" s="11"/>
      <c r="M109" s="11">
        <f>SUMIF($I$77:$I$106,I109,$M$77:$M$106)</f>
        <v>10844060.419940032</v>
      </c>
      <c r="N109" s="11">
        <f>SUMIF($I$77:$I$106,I109,$N$77:$N$106)</f>
        <v>6753930.7083668085</v>
      </c>
      <c r="O109" s="11">
        <f>SUMIF($I$77:$I$106,I109,$O$77:$O$106)</f>
        <v>19449089.660059966</v>
      </c>
      <c r="P109" s="88"/>
      <c r="Q109" s="117"/>
      <c r="R109" s="8"/>
      <c r="S109" s="5"/>
    </row>
    <row r="110" spans="1:19" s="9" customFormat="1" ht="39" customHeight="1" thickBot="1" x14ac:dyDescent="0.3">
      <c r="A110" s="241"/>
      <c r="B110" s="242"/>
      <c r="C110" s="243"/>
      <c r="D110" s="33"/>
      <c r="E110" s="33"/>
      <c r="F110" s="42"/>
      <c r="G110" s="42"/>
      <c r="H110" s="42"/>
      <c r="I110" s="45" t="s">
        <v>69</v>
      </c>
      <c r="J110" s="12">
        <f>SUMIF($I$77:$I$106,I110,$J$77:$J$106)</f>
        <v>0</v>
      </c>
      <c r="K110" s="12">
        <f>SUMIF($I$77:$I$106,I110,$K$77:$K$106)</f>
        <v>0</v>
      </c>
      <c r="L110" s="12"/>
      <c r="M110" s="12">
        <f>SUMIF($I$77:$I$106,I110,$M$77:$M$106)</f>
        <v>0</v>
      </c>
      <c r="N110" s="12">
        <f>SUMIF($I$77:$I$106,I110,$N$77:$N$106)</f>
        <v>0</v>
      </c>
      <c r="O110" s="12">
        <f>SUMIF($I$77:$I$106,I110,$O$77:$O$106)</f>
        <v>0</v>
      </c>
      <c r="P110" s="90"/>
      <c r="Q110" s="119"/>
      <c r="R110" s="8"/>
      <c r="S110" s="5"/>
    </row>
    <row r="111" spans="1:19" s="4" customFormat="1" ht="156.75" customHeight="1" outlineLevel="1" x14ac:dyDescent="0.25">
      <c r="A111" s="129">
        <v>64</v>
      </c>
      <c r="B111" s="156" t="s">
        <v>0</v>
      </c>
      <c r="C111" s="156" t="s">
        <v>1</v>
      </c>
      <c r="D111" s="158" t="s">
        <v>418</v>
      </c>
      <c r="E111" s="158"/>
      <c r="F111" s="172"/>
      <c r="G111" s="172" t="s">
        <v>342</v>
      </c>
      <c r="H111" s="172" t="s">
        <v>191</v>
      </c>
      <c r="I111" s="130" t="s">
        <v>2</v>
      </c>
      <c r="J111" s="54">
        <f>3047000000+3000000000</f>
        <v>6047000000</v>
      </c>
      <c r="K111" s="32">
        <v>6000000000</v>
      </c>
      <c r="L111" s="128"/>
      <c r="M111" s="32">
        <f>4439902959+260956717.5+995441267.7+73262192.2+103703140+88648827.6+23704487.9+9999937.1+167000+1814495.5+405741.8+291594+193389.5+167000</f>
        <v>5998658749.8000002</v>
      </c>
      <c r="N111" s="32"/>
      <c r="O111" s="169">
        <f t="shared" ref="O111:O116" si="5">K111-M111</f>
        <v>1341250.1999998093</v>
      </c>
      <c r="P111" s="86" t="s">
        <v>73</v>
      </c>
      <c r="Q111" s="149" t="s">
        <v>437</v>
      </c>
      <c r="R111" s="3"/>
      <c r="S111" s="5"/>
    </row>
    <row r="112" spans="1:19" s="4" customFormat="1" ht="147" customHeight="1" outlineLevel="1" x14ac:dyDescent="0.25">
      <c r="A112" s="129">
        <v>65</v>
      </c>
      <c r="B112" s="156" t="s">
        <v>0</v>
      </c>
      <c r="C112" s="247" t="s">
        <v>7</v>
      </c>
      <c r="D112" s="156" t="s">
        <v>418</v>
      </c>
      <c r="E112" s="156"/>
      <c r="F112" s="163"/>
      <c r="G112" s="163" t="s">
        <v>427</v>
      </c>
      <c r="H112" s="163" t="s">
        <v>8</v>
      </c>
      <c r="I112" s="130" t="s">
        <v>2</v>
      </c>
      <c r="J112" s="152">
        <v>2000000000</v>
      </c>
      <c r="K112" s="32">
        <v>2000000000</v>
      </c>
      <c r="L112" s="153">
        <v>2.7E-2</v>
      </c>
      <c r="M112" s="32"/>
      <c r="N112" s="132">
        <f>68417269.8+13462993.2+49643.9+1421840.5+38566246.5+491534.9+1119195.4+178355+29883.2+10588.6+3022.3</f>
        <v>123750573.30000001</v>
      </c>
      <c r="O112" s="132">
        <f t="shared" si="5"/>
        <v>2000000000</v>
      </c>
      <c r="P112" s="86" t="s">
        <v>73</v>
      </c>
      <c r="Q112" s="148" t="s">
        <v>437</v>
      </c>
      <c r="R112" s="3"/>
      <c r="S112" s="5"/>
    </row>
    <row r="113" spans="1:19" s="4" customFormat="1" ht="144.75" customHeight="1" outlineLevel="1" x14ac:dyDescent="0.25">
      <c r="A113" s="129">
        <v>66</v>
      </c>
      <c r="B113" s="156" t="s">
        <v>0</v>
      </c>
      <c r="C113" s="249"/>
      <c r="D113" s="137" t="s">
        <v>418</v>
      </c>
      <c r="E113" s="137"/>
      <c r="F113" s="135"/>
      <c r="G113" s="163" t="s">
        <v>428</v>
      </c>
      <c r="H113" s="163" t="s">
        <v>9</v>
      </c>
      <c r="I113" s="157" t="s">
        <v>2</v>
      </c>
      <c r="J113" s="152">
        <v>2000000000</v>
      </c>
      <c r="K113" s="32">
        <v>2000000000</v>
      </c>
      <c r="L113" s="55">
        <v>5.7000000000000002E-2</v>
      </c>
      <c r="M113" s="32"/>
      <c r="N113" s="32">
        <f>153819379.6+28421448.8+780809.1+528470.5+2614769.3+283790.1+5159868.8+1406739.9</f>
        <v>193015276.10000002</v>
      </c>
      <c r="O113" s="132">
        <f t="shared" si="5"/>
        <v>2000000000</v>
      </c>
      <c r="P113" s="86" t="s">
        <v>73</v>
      </c>
      <c r="Q113" s="148" t="s">
        <v>437</v>
      </c>
      <c r="R113" s="3"/>
      <c r="S113" s="5"/>
    </row>
    <row r="114" spans="1:19" s="4" customFormat="1" ht="168" customHeight="1" outlineLevel="1" x14ac:dyDescent="0.25">
      <c r="A114" s="129">
        <v>67</v>
      </c>
      <c r="B114" s="27" t="s">
        <v>0</v>
      </c>
      <c r="C114" s="248"/>
      <c r="D114" s="126"/>
      <c r="E114" s="126"/>
      <c r="F114" s="112"/>
      <c r="G114" s="135" t="s">
        <v>429</v>
      </c>
      <c r="H114" s="135" t="s">
        <v>192</v>
      </c>
      <c r="I114" s="157" t="s">
        <v>2</v>
      </c>
      <c r="J114" s="152">
        <v>5000000000</v>
      </c>
      <c r="K114" s="32">
        <v>5000000000</v>
      </c>
      <c r="L114" s="153">
        <v>2.7E-2</v>
      </c>
      <c r="M114" s="32"/>
      <c r="N114" s="32">
        <f>34209157.5+76580313.4+83507353.3+1840160.7</f>
        <v>196136984.89999998</v>
      </c>
      <c r="O114" s="132">
        <f t="shared" si="5"/>
        <v>5000000000</v>
      </c>
      <c r="P114" s="85" t="s">
        <v>73</v>
      </c>
      <c r="Q114" s="120" t="s">
        <v>437</v>
      </c>
      <c r="R114" s="3"/>
      <c r="S114" s="5"/>
    </row>
    <row r="115" spans="1:19" s="4" customFormat="1" ht="162" outlineLevel="1" x14ac:dyDescent="0.25">
      <c r="A115" s="160">
        <v>68</v>
      </c>
      <c r="B115" s="158" t="s">
        <v>3</v>
      </c>
      <c r="C115" s="158" t="s">
        <v>5</v>
      </c>
      <c r="D115" s="158" t="s">
        <v>418</v>
      </c>
      <c r="E115" s="158"/>
      <c r="F115" s="172"/>
      <c r="G115" s="172" t="s">
        <v>343</v>
      </c>
      <c r="H115" s="172" t="s">
        <v>6</v>
      </c>
      <c r="I115" s="157" t="s">
        <v>2</v>
      </c>
      <c r="J115" s="170">
        <v>562500000</v>
      </c>
      <c r="K115" s="94">
        <v>562500000</v>
      </c>
      <c r="L115" s="55"/>
      <c r="M115" s="94"/>
      <c r="N115" s="94"/>
      <c r="O115" s="142">
        <f t="shared" si="5"/>
        <v>562500000</v>
      </c>
      <c r="P115" s="91" t="s">
        <v>73</v>
      </c>
      <c r="Q115" s="149" t="s">
        <v>437</v>
      </c>
      <c r="R115" s="3"/>
      <c r="S115" s="5"/>
    </row>
    <row r="116" spans="1:19" s="4" customFormat="1" ht="95.25" outlineLevel="1" thickBot="1" x14ac:dyDescent="0.3">
      <c r="A116" s="56">
        <v>69</v>
      </c>
      <c r="B116" s="95" t="s">
        <v>3</v>
      </c>
      <c r="C116" s="95" t="s">
        <v>4</v>
      </c>
      <c r="D116" s="95" t="s">
        <v>418</v>
      </c>
      <c r="E116" s="95"/>
      <c r="F116" s="57"/>
      <c r="G116" s="57"/>
      <c r="H116" s="57" t="s">
        <v>353</v>
      </c>
      <c r="I116" s="95" t="s">
        <v>2</v>
      </c>
      <c r="J116" s="58">
        <f>2000000000+7300000000</f>
        <v>9300000000</v>
      </c>
      <c r="K116" s="59">
        <f>9024295000</f>
        <v>9024295000</v>
      </c>
      <c r="L116" s="60"/>
      <c r="M116" s="59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+777853.6+3576579+4160398+1285963+3005301+408727.2+3440908.5+14162695</f>
        <v>8839883014.5000076</v>
      </c>
      <c r="N116" s="59">
        <f>34040214.6+16030636.8+1797857.1+7375602.5+3983531.1+11814600.3+22459610.6+9668538.8+11671711.4+6908264.6+1329981.6</f>
        <v>127080549.39999999</v>
      </c>
      <c r="O116" s="61">
        <f t="shared" si="5"/>
        <v>184411985.49999237</v>
      </c>
      <c r="P116" s="96" t="s">
        <v>73</v>
      </c>
      <c r="Q116" s="121" t="s">
        <v>437</v>
      </c>
      <c r="R116" s="3"/>
      <c r="S116" s="5"/>
    </row>
    <row r="117" spans="1:19" s="9" customFormat="1" ht="30" customHeight="1" x14ac:dyDescent="0.25">
      <c r="A117" s="244" t="s">
        <v>193</v>
      </c>
      <c r="B117" s="245"/>
      <c r="C117" s="246"/>
      <c r="D117" s="110"/>
      <c r="E117" s="110"/>
      <c r="F117" s="63"/>
      <c r="G117" s="63"/>
      <c r="H117" s="63"/>
      <c r="I117" s="113" t="s">
        <v>27</v>
      </c>
      <c r="J117" s="14">
        <f>SUMIF($I$111:$I$116,I117,$J$111:$J$116)</f>
        <v>0</v>
      </c>
      <c r="K117" s="14">
        <f>SUMIF($I$111:$I$116,I117,$K$111:$K$116)</f>
        <v>0</v>
      </c>
      <c r="L117" s="14"/>
      <c r="M117" s="14">
        <f>SUMIF($I$111:$I$116,I117,$M$111:$M$116)</f>
        <v>0</v>
      </c>
      <c r="N117" s="14">
        <f>SUMIF($I$111:$I$116,I117,$N$111:$N$116)</f>
        <v>0</v>
      </c>
      <c r="O117" s="14">
        <f>SUMIF($I$111:$I$116,I117,$O$111:$O$116)</f>
        <v>0</v>
      </c>
      <c r="P117" s="92"/>
      <c r="Q117" s="122"/>
      <c r="R117" s="3"/>
      <c r="S117" s="5"/>
    </row>
    <row r="118" spans="1:19" s="9" customFormat="1" ht="27" customHeight="1" x14ac:dyDescent="0.25">
      <c r="A118" s="238"/>
      <c r="B118" s="239"/>
      <c r="C118" s="240"/>
      <c r="D118" s="33"/>
      <c r="E118" s="33"/>
      <c r="F118" s="42"/>
      <c r="G118" s="42"/>
      <c r="H118" s="42"/>
      <c r="I118" s="114" t="s">
        <v>2</v>
      </c>
      <c r="J118" s="14">
        <f>SUMIF($I$111:$I$116,I118,$J$111:$J$116)</f>
        <v>24909500000</v>
      </c>
      <c r="K118" s="11">
        <f>SUMIF($I$111:$I$116,I118,$K$111:$K$116)</f>
        <v>24586795000</v>
      </c>
      <c r="L118" s="11"/>
      <c r="M118" s="11">
        <f>SUMIF($I$111:$I$116,I118,$M$111:$M$116)</f>
        <v>14838541764.300007</v>
      </c>
      <c r="N118" s="11">
        <f>SUMIF($I$111:$I$116,I118,$N$111:$N$116)</f>
        <v>639983383.70000005</v>
      </c>
      <c r="O118" s="11">
        <f>SUMIF($I$111:$I$116,I118,$O$111:$O$116)</f>
        <v>9748253235.6999931</v>
      </c>
      <c r="P118" s="88"/>
      <c r="Q118" s="117"/>
      <c r="R118" s="3"/>
      <c r="S118" s="5"/>
    </row>
    <row r="119" spans="1:19" s="9" customFormat="1" ht="28.5" customHeight="1" x14ac:dyDescent="0.25">
      <c r="A119" s="238"/>
      <c r="B119" s="239"/>
      <c r="C119" s="240"/>
      <c r="D119" s="33"/>
      <c r="E119" s="33"/>
      <c r="F119" s="42"/>
      <c r="G119" s="42"/>
      <c r="H119" s="42"/>
      <c r="I119" s="114" t="s">
        <v>49</v>
      </c>
      <c r="J119" s="14">
        <f>SUMIF($I$111:$I$116,I119,$J$111:$J$116)</f>
        <v>0</v>
      </c>
      <c r="K119" s="11">
        <f>SUMIF($I$111:$I$116,I119,$K$111:$K$116)</f>
        <v>0</v>
      </c>
      <c r="L119" s="11"/>
      <c r="M119" s="11">
        <f>SUMIF($I$111:$I$116,I119,$M$111:$M$116)</f>
        <v>0</v>
      </c>
      <c r="N119" s="11">
        <f>SUMIF($I$111:$I$116,I119,$N$111:$N$116)</f>
        <v>0</v>
      </c>
      <c r="O119" s="11">
        <f>SUMIF($I$111:$I$116,I119,$O$111:$O$116)</f>
        <v>0</v>
      </c>
      <c r="P119" s="88"/>
      <c r="Q119" s="117"/>
      <c r="R119" s="8"/>
      <c r="S119" s="5"/>
    </row>
    <row r="120" spans="1:19" s="9" customFormat="1" ht="30" customHeight="1" thickBot="1" x14ac:dyDescent="0.3">
      <c r="A120" s="241"/>
      <c r="B120" s="242"/>
      <c r="C120" s="243"/>
      <c r="D120" s="107"/>
      <c r="E120" s="107"/>
      <c r="F120" s="45"/>
      <c r="G120" s="45"/>
      <c r="H120" s="45"/>
      <c r="I120" s="105" t="s">
        <v>69</v>
      </c>
      <c r="J120" s="12">
        <f>SUMIF($I$111:$I$116,I120,$J$111:$J$116)</f>
        <v>0</v>
      </c>
      <c r="K120" s="12">
        <f>SUMIF($I$111:$I$116,I120,$K$111:$K$116)</f>
        <v>0</v>
      </c>
      <c r="L120" s="12"/>
      <c r="M120" s="12">
        <f>SUMIF($I$111:$I$116,I120,$M$111:$M$116)</f>
        <v>0</v>
      </c>
      <c r="N120" s="12">
        <f>SUMIF($I$111:$I$116,I120,$N$111:$N$116)</f>
        <v>0</v>
      </c>
      <c r="O120" s="12">
        <f>SUMIF($I$111:$I$116,I120,$O$111:$O$116)</f>
        <v>0</v>
      </c>
      <c r="P120" s="90"/>
      <c r="Q120" s="119"/>
      <c r="R120" s="8"/>
      <c r="S120" s="5"/>
    </row>
    <row r="121" spans="1:19" s="4" customFormat="1" ht="121.5" outlineLevel="1" x14ac:dyDescent="0.25">
      <c r="A121" s="160">
        <v>70</v>
      </c>
      <c r="B121" s="165" t="s">
        <v>194</v>
      </c>
      <c r="C121" s="165" t="s">
        <v>195</v>
      </c>
      <c r="D121" s="158" t="s">
        <v>418</v>
      </c>
      <c r="E121" s="158"/>
      <c r="F121" s="158" t="s">
        <v>408</v>
      </c>
      <c r="G121" s="172" t="s">
        <v>344</v>
      </c>
      <c r="H121" s="172" t="s">
        <v>196</v>
      </c>
      <c r="I121" s="130" t="s">
        <v>2</v>
      </c>
      <c r="J121" s="62">
        <v>574491741</v>
      </c>
      <c r="K121" s="62">
        <v>574491741</v>
      </c>
      <c r="L121" s="139">
        <v>1E-4</v>
      </c>
      <c r="M121" s="62">
        <f>132575017.2</f>
        <v>132575017.2</v>
      </c>
      <c r="N121" s="62">
        <f>85623+14165+39966.7</f>
        <v>139754.70000000001</v>
      </c>
      <c r="O121" s="142">
        <f t="shared" ref="O121:O133" si="6">K121-M121</f>
        <v>441916723.80000001</v>
      </c>
      <c r="P121" s="91" t="s">
        <v>197</v>
      </c>
      <c r="Q121" s="177" t="s">
        <v>437</v>
      </c>
      <c r="R121" s="3"/>
      <c r="S121" s="5"/>
    </row>
    <row r="122" spans="1:19" s="4" customFormat="1" ht="108" outlineLevel="1" x14ac:dyDescent="0.25">
      <c r="A122" s="129">
        <v>71</v>
      </c>
      <c r="B122" s="161" t="s">
        <v>198</v>
      </c>
      <c r="C122" s="161" t="s">
        <v>195</v>
      </c>
      <c r="D122" s="156" t="s">
        <v>418</v>
      </c>
      <c r="E122" s="156"/>
      <c r="F122" s="156" t="s">
        <v>408</v>
      </c>
      <c r="G122" s="163" t="s">
        <v>345</v>
      </c>
      <c r="H122" s="163" t="s">
        <v>199</v>
      </c>
      <c r="I122" s="130" t="s">
        <v>2</v>
      </c>
      <c r="J122" s="54">
        <v>98612371</v>
      </c>
      <c r="K122" s="47">
        <v>98612371</v>
      </c>
      <c r="L122" s="127">
        <v>1E-4</v>
      </c>
      <c r="M122" s="47"/>
      <c r="N122" s="47">
        <v>17060</v>
      </c>
      <c r="O122" s="141">
        <f t="shared" si="6"/>
        <v>98612371</v>
      </c>
      <c r="P122" s="86" t="s">
        <v>200</v>
      </c>
      <c r="Q122" s="120" t="s">
        <v>437</v>
      </c>
      <c r="R122" s="3"/>
      <c r="S122" s="5"/>
    </row>
    <row r="123" spans="1:19" s="4" customFormat="1" ht="108" outlineLevel="1" x14ac:dyDescent="0.25">
      <c r="A123" s="129">
        <v>72</v>
      </c>
      <c r="B123" s="161" t="s">
        <v>201</v>
      </c>
      <c r="C123" s="161" t="s">
        <v>195</v>
      </c>
      <c r="D123" s="156" t="s">
        <v>418</v>
      </c>
      <c r="E123" s="156"/>
      <c r="F123" s="156" t="s">
        <v>408</v>
      </c>
      <c r="G123" s="163" t="s">
        <v>346</v>
      </c>
      <c r="H123" s="163" t="s">
        <v>202</v>
      </c>
      <c r="I123" s="130" t="s">
        <v>2</v>
      </c>
      <c r="J123" s="54">
        <v>60132468</v>
      </c>
      <c r="K123" s="47">
        <v>60132468</v>
      </c>
      <c r="L123" s="127">
        <v>1E-4</v>
      </c>
      <c r="M123" s="47">
        <f>4625574.5+4625574.5+4625574.5+4625574.5+4625575+4625575+4625575+4625575+4625575+4625575+4625575</f>
        <v>50881323</v>
      </c>
      <c r="N123" s="47">
        <f>10367+1511.2+1400+1500+1500+1000+20000+1000</f>
        <v>38278.199999999997</v>
      </c>
      <c r="O123" s="141">
        <f t="shared" si="6"/>
        <v>9251145</v>
      </c>
      <c r="P123" s="86" t="s">
        <v>203</v>
      </c>
      <c r="Q123" s="120" t="s">
        <v>434</v>
      </c>
      <c r="R123" s="15"/>
      <c r="S123" s="5"/>
    </row>
    <row r="124" spans="1:19" s="4" customFormat="1" ht="108" outlineLevel="1" x14ac:dyDescent="0.25">
      <c r="A124" s="129">
        <v>73</v>
      </c>
      <c r="B124" s="161" t="s">
        <v>204</v>
      </c>
      <c r="C124" s="161" t="s">
        <v>195</v>
      </c>
      <c r="D124" s="156" t="s">
        <v>418</v>
      </c>
      <c r="E124" s="156"/>
      <c r="F124" s="156" t="s">
        <v>408</v>
      </c>
      <c r="G124" s="163" t="s">
        <v>347</v>
      </c>
      <c r="H124" s="163" t="s">
        <v>205</v>
      </c>
      <c r="I124" s="130" t="s">
        <v>2</v>
      </c>
      <c r="J124" s="152">
        <f>9500000+12453199</f>
        <v>21953199</v>
      </c>
      <c r="K124" s="47">
        <f>9500000+12453199</f>
        <v>21953199</v>
      </c>
      <c r="L124" s="127">
        <v>1E-4</v>
      </c>
      <c r="M124" s="47"/>
      <c r="N124" s="47">
        <v>3720</v>
      </c>
      <c r="O124" s="141">
        <f t="shared" si="6"/>
        <v>21953199</v>
      </c>
      <c r="P124" s="86" t="s">
        <v>206</v>
      </c>
      <c r="Q124" s="120" t="s">
        <v>437</v>
      </c>
      <c r="R124" s="15"/>
      <c r="S124" s="5"/>
    </row>
    <row r="125" spans="1:19" s="4" customFormat="1" ht="129.75" customHeight="1" outlineLevel="1" x14ac:dyDescent="0.25">
      <c r="A125" s="129">
        <v>74</v>
      </c>
      <c r="B125" s="161" t="s">
        <v>207</v>
      </c>
      <c r="C125" s="161" t="s">
        <v>195</v>
      </c>
      <c r="D125" s="156" t="s">
        <v>418</v>
      </c>
      <c r="E125" s="156"/>
      <c r="F125" s="156" t="s">
        <v>408</v>
      </c>
      <c r="G125" s="163" t="s">
        <v>347</v>
      </c>
      <c r="H125" s="163" t="s">
        <v>208</v>
      </c>
      <c r="I125" s="130" t="s">
        <v>2</v>
      </c>
      <c r="J125" s="54">
        <v>15801400</v>
      </c>
      <c r="K125" s="47">
        <v>15801400</v>
      </c>
      <c r="L125" s="127">
        <v>1E-4</v>
      </c>
      <c r="M125" s="47"/>
      <c r="N125" s="47">
        <v>3500</v>
      </c>
      <c r="O125" s="141">
        <f t="shared" si="6"/>
        <v>15801400</v>
      </c>
      <c r="P125" s="86" t="s">
        <v>209</v>
      </c>
      <c r="Q125" s="120" t="s">
        <v>437</v>
      </c>
      <c r="R125" s="15"/>
      <c r="S125" s="5"/>
    </row>
    <row r="126" spans="1:19" s="4" customFormat="1" ht="129.75" customHeight="1" outlineLevel="1" x14ac:dyDescent="0.25">
      <c r="A126" s="129">
        <v>75</v>
      </c>
      <c r="B126" s="161" t="s">
        <v>210</v>
      </c>
      <c r="C126" s="161" t="s">
        <v>195</v>
      </c>
      <c r="D126" s="156" t="s">
        <v>418</v>
      </c>
      <c r="E126" s="156"/>
      <c r="F126" s="156" t="s">
        <v>408</v>
      </c>
      <c r="G126" s="163" t="s">
        <v>347</v>
      </c>
      <c r="H126" s="163" t="s">
        <v>208</v>
      </c>
      <c r="I126" s="130" t="s">
        <v>2</v>
      </c>
      <c r="J126" s="54">
        <v>2554000</v>
      </c>
      <c r="K126" s="47">
        <v>2554000</v>
      </c>
      <c r="L126" s="127">
        <v>1E-4</v>
      </c>
      <c r="M126" s="47"/>
      <c r="N126" s="47">
        <f>500</f>
        <v>500</v>
      </c>
      <c r="O126" s="141">
        <f t="shared" si="6"/>
        <v>2554000</v>
      </c>
      <c r="P126" s="86" t="s">
        <v>211</v>
      </c>
      <c r="Q126" s="120" t="s">
        <v>437</v>
      </c>
      <c r="R126" s="15"/>
      <c r="S126" s="5"/>
    </row>
    <row r="127" spans="1:19" s="4" customFormat="1" ht="129.75" customHeight="1" outlineLevel="1" x14ac:dyDescent="0.25">
      <c r="A127" s="129">
        <v>76</v>
      </c>
      <c r="B127" s="161" t="s">
        <v>212</v>
      </c>
      <c r="C127" s="161" t="s">
        <v>195</v>
      </c>
      <c r="D127" s="156" t="s">
        <v>418</v>
      </c>
      <c r="E127" s="156"/>
      <c r="F127" s="156" t="s">
        <v>408</v>
      </c>
      <c r="G127" s="163" t="s">
        <v>347</v>
      </c>
      <c r="H127" s="163" t="s">
        <v>213</v>
      </c>
      <c r="I127" s="130" t="s">
        <v>2</v>
      </c>
      <c r="J127" s="54">
        <v>29053320</v>
      </c>
      <c r="K127" s="47">
        <v>29053320</v>
      </c>
      <c r="L127" s="127">
        <v>1E-4</v>
      </c>
      <c r="M127" s="47"/>
      <c r="N127" s="47">
        <f>2000+3000</f>
        <v>5000</v>
      </c>
      <c r="O127" s="141">
        <f t="shared" si="6"/>
        <v>29053320</v>
      </c>
      <c r="P127" s="86" t="s">
        <v>214</v>
      </c>
      <c r="Q127" s="120" t="s">
        <v>437</v>
      </c>
      <c r="R127" s="15"/>
      <c r="S127" s="5"/>
    </row>
    <row r="128" spans="1:19" s="4" customFormat="1" ht="129.75" customHeight="1" outlineLevel="1" x14ac:dyDescent="0.25">
      <c r="A128" s="129">
        <v>77</v>
      </c>
      <c r="B128" s="161" t="s">
        <v>215</v>
      </c>
      <c r="C128" s="161" t="s">
        <v>195</v>
      </c>
      <c r="D128" s="156" t="s">
        <v>418</v>
      </c>
      <c r="E128" s="156"/>
      <c r="F128" s="156" t="s">
        <v>408</v>
      </c>
      <c r="G128" s="163" t="s">
        <v>347</v>
      </c>
      <c r="H128" s="163" t="s">
        <v>216</v>
      </c>
      <c r="I128" s="130" t="s">
        <v>2</v>
      </c>
      <c r="J128" s="54">
        <v>192064443</v>
      </c>
      <c r="K128" s="47">
        <f>95000000+97064443</f>
        <v>192064443</v>
      </c>
      <c r="L128" s="127">
        <v>1E-4</v>
      </c>
      <c r="M128" s="47">
        <f>65000000+20000000+30000000+10000000+10000000</f>
        <v>135000000</v>
      </c>
      <c r="N128" s="47">
        <f>16100+12200+23933</f>
        <v>52233</v>
      </c>
      <c r="O128" s="141">
        <f t="shared" si="6"/>
        <v>57064443</v>
      </c>
      <c r="P128" s="86" t="s">
        <v>217</v>
      </c>
      <c r="Q128" s="120" t="s">
        <v>434</v>
      </c>
      <c r="R128" s="15"/>
      <c r="S128" s="5"/>
    </row>
    <row r="129" spans="1:19" s="4" customFormat="1" ht="129.75" customHeight="1" outlineLevel="1" x14ac:dyDescent="0.25">
      <c r="A129" s="129">
        <v>78</v>
      </c>
      <c r="B129" s="161" t="s">
        <v>219</v>
      </c>
      <c r="C129" s="161" t="s">
        <v>195</v>
      </c>
      <c r="D129" s="156" t="s">
        <v>418</v>
      </c>
      <c r="E129" s="156"/>
      <c r="F129" s="156" t="s">
        <v>408</v>
      </c>
      <c r="G129" s="163" t="s">
        <v>347</v>
      </c>
      <c r="H129" s="163" t="s">
        <v>218</v>
      </c>
      <c r="I129" s="130" t="s">
        <v>2</v>
      </c>
      <c r="J129" s="54">
        <v>3469534</v>
      </c>
      <c r="K129" s="47">
        <v>3469534</v>
      </c>
      <c r="L129" s="127">
        <v>1E-4</v>
      </c>
      <c r="M129" s="47">
        <v>266887</v>
      </c>
      <c r="N129" s="47">
        <f>600+86</f>
        <v>686</v>
      </c>
      <c r="O129" s="141">
        <f t="shared" si="6"/>
        <v>3202647</v>
      </c>
      <c r="P129" s="86" t="s">
        <v>220</v>
      </c>
      <c r="Q129" s="120" t="s">
        <v>437</v>
      </c>
      <c r="R129" s="15"/>
      <c r="S129" s="5"/>
    </row>
    <row r="130" spans="1:19" s="4" customFormat="1" ht="129.75" customHeight="1" outlineLevel="1" x14ac:dyDescent="0.25">
      <c r="A130" s="129">
        <v>79</v>
      </c>
      <c r="B130" s="161" t="s">
        <v>221</v>
      </c>
      <c r="C130" s="161" t="s">
        <v>195</v>
      </c>
      <c r="D130" s="156" t="s">
        <v>418</v>
      </c>
      <c r="E130" s="156"/>
      <c r="F130" s="156" t="s">
        <v>408</v>
      </c>
      <c r="G130" s="163" t="s">
        <v>347</v>
      </c>
      <c r="H130" s="163" t="s">
        <v>222</v>
      </c>
      <c r="I130" s="130" t="s">
        <v>2</v>
      </c>
      <c r="J130" s="54">
        <v>11781702</v>
      </c>
      <c r="K130" s="47">
        <v>11781702</v>
      </c>
      <c r="L130" s="127">
        <v>1E-4</v>
      </c>
      <c r="M130" s="47">
        <f>906285+906285+906285+906285+906285+906285+906285+906285+906285+906285+906285</f>
        <v>9969135</v>
      </c>
      <c r="N130" s="47">
        <f>3000+1500+1500</f>
        <v>6000</v>
      </c>
      <c r="O130" s="141">
        <f t="shared" si="6"/>
        <v>1812567</v>
      </c>
      <c r="P130" s="86" t="s">
        <v>223</v>
      </c>
      <c r="Q130" s="120" t="s">
        <v>434</v>
      </c>
      <c r="R130" s="15"/>
      <c r="S130" s="5"/>
    </row>
    <row r="131" spans="1:19" s="4" customFormat="1" ht="129.75" customHeight="1" outlineLevel="1" x14ac:dyDescent="0.25">
      <c r="A131" s="129">
        <v>0</v>
      </c>
      <c r="B131" s="161" t="s">
        <v>224</v>
      </c>
      <c r="C131" s="161" t="s">
        <v>195</v>
      </c>
      <c r="D131" s="156" t="s">
        <v>418</v>
      </c>
      <c r="E131" s="156"/>
      <c r="F131" s="156" t="s">
        <v>408</v>
      </c>
      <c r="G131" s="163" t="s">
        <v>347</v>
      </c>
      <c r="H131" s="163" t="s">
        <v>225</v>
      </c>
      <c r="I131" s="130" t="s">
        <v>2</v>
      </c>
      <c r="J131" s="54">
        <f>112000000+16200000</f>
        <v>128200000</v>
      </c>
      <c r="K131" s="47">
        <f>112000000+16200000</f>
        <v>128200000</v>
      </c>
      <c r="L131" s="127">
        <v>1E-4</v>
      </c>
      <c r="M131" s="47">
        <f>3000000+3000000+4000000</f>
        <v>10000000</v>
      </c>
      <c r="N131" s="47">
        <f>25640+12820+12820+12820</f>
        <v>64100</v>
      </c>
      <c r="O131" s="141">
        <f t="shared" si="6"/>
        <v>118200000</v>
      </c>
      <c r="P131" s="86" t="s">
        <v>226</v>
      </c>
      <c r="Q131" s="120" t="s">
        <v>437</v>
      </c>
      <c r="R131" s="15"/>
      <c r="S131" s="5"/>
    </row>
    <row r="132" spans="1:19" s="4" customFormat="1" ht="129.75" customHeight="1" outlineLevel="1" x14ac:dyDescent="0.25">
      <c r="A132" s="129">
        <v>81</v>
      </c>
      <c r="B132" s="161" t="s">
        <v>227</v>
      </c>
      <c r="C132" s="161" t="s">
        <v>195</v>
      </c>
      <c r="D132" s="156" t="s">
        <v>418</v>
      </c>
      <c r="E132" s="156"/>
      <c r="F132" s="156" t="s">
        <v>408</v>
      </c>
      <c r="G132" s="163" t="s">
        <v>347</v>
      </c>
      <c r="H132" s="163" t="s">
        <v>228</v>
      </c>
      <c r="I132" s="130" t="s">
        <v>2</v>
      </c>
      <c r="J132" s="54">
        <v>26127500</v>
      </c>
      <c r="K132" s="47">
        <v>26127500</v>
      </c>
      <c r="L132" s="127">
        <v>1E-4</v>
      </c>
      <c r="M132" s="47"/>
      <c r="N132" s="47">
        <f>4530</f>
        <v>4530</v>
      </c>
      <c r="O132" s="141">
        <f t="shared" si="6"/>
        <v>26127500</v>
      </c>
      <c r="P132" s="86" t="s">
        <v>229</v>
      </c>
      <c r="Q132" s="120" t="s">
        <v>437</v>
      </c>
      <c r="R132" s="15"/>
      <c r="S132" s="5"/>
    </row>
    <row r="133" spans="1:19" s="4" customFormat="1" ht="129.75" customHeight="1" outlineLevel="1" x14ac:dyDescent="0.25">
      <c r="A133" s="129">
        <v>82</v>
      </c>
      <c r="B133" s="161" t="s">
        <v>230</v>
      </c>
      <c r="C133" s="161" t="s">
        <v>195</v>
      </c>
      <c r="D133" s="156" t="s">
        <v>418</v>
      </c>
      <c r="E133" s="156"/>
      <c r="F133" s="156" t="s">
        <v>408</v>
      </c>
      <c r="G133" s="163" t="s">
        <v>347</v>
      </c>
      <c r="H133" s="163" t="s">
        <v>231</v>
      </c>
      <c r="I133" s="130" t="s">
        <v>2</v>
      </c>
      <c r="J133" s="54">
        <v>19297200</v>
      </c>
      <c r="K133" s="47">
        <f>10800000+3440000+1440000+3617200</f>
        <v>19297200</v>
      </c>
      <c r="L133" s="127">
        <v>1E-4</v>
      </c>
      <c r="M133" s="47"/>
      <c r="N133" s="47">
        <f>3000</f>
        <v>3000</v>
      </c>
      <c r="O133" s="141">
        <f t="shared" si="6"/>
        <v>19297200</v>
      </c>
      <c r="P133" s="86" t="s">
        <v>232</v>
      </c>
      <c r="Q133" s="120" t="s">
        <v>504</v>
      </c>
      <c r="R133" s="15"/>
      <c r="S133" s="5"/>
    </row>
    <row r="134" spans="1:19" s="4" customFormat="1" ht="129.75" customHeight="1" outlineLevel="1" x14ac:dyDescent="0.25">
      <c r="A134" s="129">
        <v>83</v>
      </c>
      <c r="B134" s="161" t="s">
        <v>233</v>
      </c>
      <c r="C134" s="161" t="s">
        <v>195</v>
      </c>
      <c r="D134" s="156" t="s">
        <v>418</v>
      </c>
      <c r="E134" s="156"/>
      <c r="F134" s="156" t="s">
        <v>408</v>
      </c>
      <c r="G134" s="163" t="s">
        <v>347</v>
      </c>
      <c r="H134" s="163" t="s">
        <v>218</v>
      </c>
      <c r="I134" s="130" t="s">
        <v>2</v>
      </c>
      <c r="J134" s="54">
        <v>2164000</v>
      </c>
      <c r="K134" s="47">
        <v>2164000</v>
      </c>
      <c r="L134" s="127">
        <v>1E-4</v>
      </c>
      <c r="M134" s="47">
        <f>166462+166462+165000+167000+166500+166500+67000+265923+100000</f>
        <v>1430847</v>
      </c>
      <c r="N134" s="47">
        <f>370+54.8+100+100+500</f>
        <v>1124.8</v>
      </c>
      <c r="O134" s="141">
        <f>K134-N134</f>
        <v>2162875.2000000002</v>
      </c>
      <c r="P134" s="86" t="s">
        <v>234</v>
      </c>
      <c r="Q134" s="120" t="s">
        <v>434</v>
      </c>
      <c r="R134" s="15"/>
      <c r="S134" s="5"/>
    </row>
    <row r="135" spans="1:19" s="4" customFormat="1" ht="129.75" customHeight="1" outlineLevel="1" x14ac:dyDescent="0.25">
      <c r="A135" s="129">
        <v>84</v>
      </c>
      <c r="B135" s="161" t="s">
        <v>235</v>
      </c>
      <c r="C135" s="161" t="s">
        <v>195</v>
      </c>
      <c r="D135" s="156" t="s">
        <v>418</v>
      </c>
      <c r="E135" s="156"/>
      <c r="F135" s="156" t="s">
        <v>408</v>
      </c>
      <c r="G135" s="163" t="s">
        <v>347</v>
      </c>
      <c r="H135" s="163" t="s">
        <v>236</v>
      </c>
      <c r="I135" s="130" t="s">
        <v>2</v>
      </c>
      <c r="J135" s="54">
        <v>253504102</v>
      </c>
      <c r="K135" s="47">
        <v>253504102</v>
      </c>
      <c r="L135" s="127">
        <v>1E-4</v>
      </c>
      <c r="M135" s="47">
        <f>19500316+19500316+19500315+19500315+19500315+19500315+19500316+19500316+19500316+19500316</f>
        <v>195003156</v>
      </c>
      <c r="N135" s="47">
        <f>5973+6390+6181+6389+6181.4+6390+6390+6390+6389+5407+7015+5059.2+9482.9</f>
        <v>83637.499999999985</v>
      </c>
      <c r="O135" s="141">
        <f t="shared" ref="O135:O141" si="7">K135-M135</f>
        <v>58500946</v>
      </c>
      <c r="P135" s="86" t="s">
        <v>237</v>
      </c>
      <c r="Q135" s="120" t="s">
        <v>434</v>
      </c>
      <c r="R135" s="15"/>
      <c r="S135" s="5"/>
    </row>
    <row r="136" spans="1:19" s="4" customFormat="1" ht="129.75" customHeight="1" outlineLevel="1" x14ac:dyDescent="0.25">
      <c r="A136" s="129">
        <v>85</v>
      </c>
      <c r="B136" s="161" t="s">
        <v>238</v>
      </c>
      <c r="C136" s="161" t="s">
        <v>195</v>
      </c>
      <c r="D136" s="156" t="s">
        <v>418</v>
      </c>
      <c r="E136" s="156"/>
      <c r="F136" s="156" t="s">
        <v>408</v>
      </c>
      <c r="G136" s="163" t="s">
        <v>347</v>
      </c>
      <c r="H136" s="163" t="s">
        <v>236</v>
      </c>
      <c r="I136" s="130" t="s">
        <v>2</v>
      </c>
      <c r="J136" s="54">
        <v>76200000</v>
      </c>
      <c r="K136" s="47">
        <v>76200000</v>
      </c>
      <c r="L136" s="127">
        <v>1E-4</v>
      </c>
      <c r="M136" s="47"/>
      <c r="N136" s="47">
        <f>7620+5520</f>
        <v>13140</v>
      </c>
      <c r="O136" s="141">
        <f t="shared" si="7"/>
        <v>76200000</v>
      </c>
      <c r="P136" s="86" t="s">
        <v>239</v>
      </c>
      <c r="Q136" s="120" t="s">
        <v>437</v>
      </c>
      <c r="R136" s="15"/>
      <c r="S136" s="5"/>
    </row>
    <row r="137" spans="1:19" s="4" customFormat="1" ht="108" outlineLevel="1" x14ac:dyDescent="0.25">
      <c r="A137" s="129">
        <v>86</v>
      </c>
      <c r="B137" s="161" t="s">
        <v>240</v>
      </c>
      <c r="C137" s="161" t="s">
        <v>195</v>
      </c>
      <c r="D137" s="156" t="s">
        <v>418</v>
      </c>
      <c r="E137" s="156"/>
      <c r="F137" s="156" t="s">
        <v>408</v>
      </c>
      <c r="G137" s="163" t="s">
        <v>347</v>
      </c>
      <c r="H137" s="163" t="s">
        <v>241</v>
      </c>
      <c r="I137" s="130" t="s">
        <v>2</v>
      </c>
      <c r="J137" s="54">
        <v>50613970</v>
      </c>
      <c r="K137" s="47">
        <v>50613970</v>
      </c>
      <c r="L137" s="127">
        <v>1E-4</v>
      </c>
      <c r="M137" s="47"/>
      <c r="N137" s="47">
        <f>8800+8800</f>
        <v>17600</v>
      </c>
      <c r="O137" s="141">
        <f t="shared" si="7"/>
        <v>50613970</v>
      </c>
      <c r="P137" s="86" t="s">
        <v>242</v>
      </c>
      <c r="Q137" s="120" t="s">
        <v>437</v>
      </c>
      <c r="R137" s="15"/>
      <c r="S137" s="5"/>
    </row>
    <row r="138" spans="1:19" s="4" customFormat="1" ht="108" outlineLevel="1" x14ac:dyDescent="0.25">
      <c r="A138" s="129">
        <v>87</v>
      </c>
      <c r="B138" s="161" t="s">
        <v>243</v>
      </c>
      <c r="C138" s="161" t="s">
        <v>195</v>
      </c>
      <c r="D138" s="156" t="s">
        <v>418</v>
      </c>
      <c r="E138" s="156"/>
      <c r="F138" s="156" t="s">
        <v>408</v>
      </c>
      <c r="G138" s="163" t="s">
        <v>347</v>
      </c>
      <c r="H138" s="163" t="s">
        <v>244</v>
      </c>
      <c r="I138" s="130" t="s">
        <v>2</v>
      </c>
      <c r="J138" s="54">
        <v>184740000</v>
      </c>
      <c r="K138" s="47">
        <v>184740000</v>
      </c>
      <c r="L138" s="127">
        <v>1E-4</v>
      </c>
      <c r="M138" s="47"/>
      <c r="N138" s="47">
        <f>31700</f>
        <v>31700</v>
      </c>
      <c r="O138" s="141">
        <f t="shared" si="7"/>
        <v>184740000</v>
      </c>
      <c r="P138" s="86" t="s">
        <v>245</v>
      </c>
      <c r="Q138" s="120" t="s">
        <v>504</v>
      </c>
      <c r="R138" s="15"/>
      <c r="S138" s="5"/>
    </row>
    <row r="139" spans="1:19" s="4" customFormat="1" ht="108" outlineLevel="1" x14ac:dyDescent="0.25">
      <c r="A139" s="129">
        <v>88</v>
      </c>
      <c r="B139" s="161" t="s">
        <v>246</v>
      </c>
      <c r="C139" s="161" t="s">
        <v>195</v>
      </c>
      <c r="D139" s="156" t="s">
        <v>418</v>
      </c>
      <c r="E139" s="156"/>
      <c r="F139" s="156" t="s">
        <v>408</v>
      </c>
      <c r="G139" s="163" t="s">
        <v>347</v>
      </c>
      <c r="H139" s="163" t="s">
        <v>247</v>
      </c>
      <c r="I139" s="130" t="s">
        <v>2</v>
      </c>
      <c r="J139" s="54">
        <v>219559596</v>
      </c>
      <c r="K139" s="47">
        <v>219559596</v>
      </c>
      <c r="L139" s="127">
        <v>1E-4</v>
      </c>
      <c r="M139" s="47">
        <f>16889200+16889200+185781196</f>
        <v>219559596</v>
      </c>
      <c r="N139" s="47">
        <f>5294+5294+27550+5533+1000</f>
        <v>44671</v>
      </c>
      <c r="O139" s="141">
        <f t="shared" si="7"/>
        <v>0</v>
      </c>
      <c r="P139" s="86" t="s">
        <v>405</v>
      </c>
      <c r="Q139" s="120" t="s">
        <v>502</v>
      </c>
      <c r="R139" s="15"/>
      <c r="S139" s="5"/>
    </row>
    <row r="140" spans="1:19" s="4" customFormat="1" ht="108" outlineLevel="1" x14ac:dyDescent="0.25">
      <c r="A140" s="129">
        <v>89</v>
      </c>
      <c r="B140" s="161" t="s">
        <v>248</v>
      </c>
      <c r="C140" s="161" t="s">
        <v>195</v>
      </c>
      <c r="D140" s="156" t="s">
        <v>418</v>
      </c>
      <c r="E140" s="156"/>
      <c r="F140" s="156" t="s">
        <v>408</v>
      </c>
      <c r="G140" s="163" t="s">
        <v>347</v>
      </c>
      <c r="H140" s="163" t="s">
        <v>244</v>
      </c>
      <c r="I140" s="130" t="s">
        <v>2</v>
      </c>
      <c r="J140" s="54">
        <v>29081500</v>
      </c>
      <c r="K140" s="47">
        <v>29081500</v>
      </c>
      <c r="L140" s="127">
        <v>1E-4</v>
      </c>
      <c r="M140" s="47"/>
      <c r="N140" s="47">
        <f>1000+4000+3000+1000+1000</f>
        <v>10000</v>
      </c>
      <c r="O140" s="141">
        <f t="shared" si="7"/>
        <v>29081500</v>
      </c>
      <c r="P140" s="86" t="s">
        <v>249</v>
      </c>
      <c r="Q140" s="120" t="s">
        <v>437</v>
      </c>
      <c r="R140" s="15"/>
      <c r="S140" s="5"/>
    </row>
    <row r="141" spans="1:19" s="4" customFormat="1" ht="123" customHeight="1" outlineLevel="1" thickBot="1" x14ac:dyDescent="0.3">
      <c r="A141" s="129">
        <v>90</v>
      </c>
      <c r="B141" s="161" t="s">
        <v>250</v>
      </c>
      <c r="C141" s="161" t="s">
        <v>195</v>
      </c>
      <c r="D141" s="156" t="s">
        <v>418</v>
      </c>
      <c r="E141" s="156"/>
      <c r="F141" s="156" t="s">
        <v>408</v>
      </c>
      <c r="G141" s="163" t="s">
        <v>347</v>
      </c>
      <c r="H141" s="163" t="s">
        <v>251</v>
      </c>
      <c r="I141" s="130" t="s">
        <v>2</v>
      </c>
      <c r="J141" s="54">
        <v>12060940</v>
      </c>
      <c r="K141" s="62">
        <v>12060940</v>
      </c>
      <c r="L141" s="127">
        <v>1E-4</v>
      </c>
      <c r="M141" s="47"/>
      <c r="N141" s="47">
        <v>2170</v>
      </c>
      <c r="O141" s="141">
        <f t="shared" si="7"/>
        <v>12060940</v>
      </c>
      <c r="P141" s="86" t="s">
        <v>252</v>
      </c>
      <c r="Q141" s="120" t="s">
        <v>437</v>
      </c>
      <c r="R141" s="15"/>
      <c r="S141" s="5"/>
    </row>
    <row r="142" spans="1:19" s="9" customFormat="1" ht="30" customHeight="1" x14ac:dyDescent="0.25">
      <c r="A142" s="238" t="s">
        <v>404</v>
      </c>
      <c r="B142" s="239"/>
      <c r="C142" s="240"/>
      <c r="D142" s="110"/>
      <c r="E142" s="110"/>
      <c r="F142" s="63"/>
      <c r="G142" s="63"/>
      <c r="H142" s="63"/>
      <c r="I142" s="115" t="s">
        <v>27</v>
      </c>
      <c r="J142" s="10">
        <f>SUMIF($I$121:$I$141,I142,$J$121:$J$141)</f>
        <v>0</v>
      </c>
      <c r="K142" s="13">
        <f>SUMIF($I$111:$I$141,I142,$K$111:$K$141)</f>
        <v>0</v>
      </c>
      <c r="L142" s="13"/>
      <c r="M142" s="14">
        <f>SUMIF($I$121:$I$141,I142,$M$121:$M$141)</f>
        <v>0</v>
      </c>
      <c r="N142" s="13">
        <f>SUMIF($I$111:$I$141,I142,$N$111:$N$141)</f>
        <v>0</v>
      </c>
      <c r="O142" s="13">
        <f>SUMIF($I$111:$I$141,I142,$O$111:$O$141)</f>
        <v>0</v>
      </c>
      <c r="P142" s="87"/>
      <c r="Q142" s="122"/>
      <c r="R142" s="8"/>
      <c r="S142" s="5"/>
    </row>
    <row r="143" spans="1:19" s="9" customFormat="1" ht="27" customHeight="1" x14ac:dyDescent="0.25">
      <c r="A143" s="238"/>
      <c r="B143" s="239"/>
      <c r="C143" s="240"/>
      <c r="D143" s="33"/>
      <c r="E143" s="33"/>
      <c r="F143" s="42"/>
      <c r="G143" s="42"/>
      <c r="H143" s="42"/>
      <c r="I143" s="116" t="s">
        <v>2</v>
      </c>
      <c r="J143" s="11">
        <f>SUMIF($I$121:$I$141,I143,$J$121:$J$141)</f>
        <v>2011462986</v>
      </c>
      <c r="K143" s="11">
        <f>SUMIF($I$121:$I$141,I143,$K$121:$K$141)</f>
        <v>2011462986</v>
      </c>
      <c r="L143" s="11"/>
      <c r="M143" s="11">
        <f>SUMIF($I$121:$I$141,I143,$M$121:$M$141)</f>
        <v>754685961.20000005</v>
      </c>
      <c r="N143" s="11">
        <f>SUMIF($I$121:$I$141,I143,$N$121:$N$141)</f>
        <v>542405.19999999995</v>
      </c>
      <c r="O143" s="11">
        <f>SUMIF($I$121:$I$141,I143,$O$121:$O$141)</f>
        <v>1258206747</v>
      </c>
      <c r="P143" s="88"/>
      <c r="Q143" s="117"/>
      <c r="R143" s="8"/>
      <c r="S143" s="5"/>
    </row>
    <row r="144" spans="1:19" s="9" customFormat="1" ht="28.5" customHeight="1" x14ac:dyDescent="0.25">
      <c r="A144" s="238"/>
      <c r="B144" s="239"/>
      <c r="C144" s="240"/>
      <c r="D144" s="33"/>
      <c r="E144" s="33"/>
      <c r="F144" s="42"/>
      <c r="G144" s="42"/>
      <c r="H144" s="42"/>
      <c r="I144" s="116" t="s">
        <v>49</v>
      </c>
      <c r="J144" s="11">
        <f>SUMIF($I$121:$I$141,I144,$J$121:$J$141)</f>
        <v>0</v>
      </c>
      <c r="K144" s="11">
        <f>SUMIF($I$111:$I$141,I144,$K$111:$K$141)</f>
        <v>0</v>
      </c>
      <c r="L144" s="11"/>
      <c r="M144" s="11">
        <f>SUMIF($I$111:$I$141,I144,$M$111:$M$141)</f>
        <v>0</v>
      </c>
      <c r="N144" s="11">
        <f>SUMIF($I$111:$I$141,I144,$N$111:$N$141)</f>
        <v>0</v>
      </c>
      <c r="O144" s="11">
        <f>SUMIF($I$111:$I$141,I144,$O$111:$O$141)</f>
        <v>0</v>
      </c>
      <c r="P144" s="88"/>
      <c r="Q144" s="117"/>
      <c r="R144" s="8"/>
      <c r="S144" s="5"/>
    </row>
    <row r="145" spans="1:19" s="9" customFormat="1" ht="30" customHeight="1" thickBot="1" x14ac:dyDescent="0.3">
      <c r="A145" s="241"/>
      <c r="B145" s="242"/>
      <c r="C145" s="243"/>
      <c r="D145" s="107"/>
      <c r="E145" s="107"/>
      <c r="F145" s="45"/>
      <c r="G145" s="45"/>
      <c r="H145" s="45"/>
      <c r="I145" s="104" t="s">
        <v>69</v>
      </c>
      <c r="J145" s="12">
        <f>SUMIF($I$121:$I$141,I145,$J$121:$J$141)</f>
        <v>0</v>
      </c>
      <c r="K145" s="12">
        <f>SUMIF($I$111:$I$141,I145,$K$111:$K$141)</f>
        <v>0</v>
      </c>
      <c r="L145" s="12"/>
      <c r="M145" s="12">
        <f>SUMIF($I$111:$I$141,I145,$M$111:$M$141)</f>
        <v>0</v>
      </c>
      <c r="N145" s="12">
        <f>SUMIF($I$111:$I$141,I145,$N$111:$N$141)</f>
        <v>0</v>
      </c>
      <c r="O145" s="12">
        <f>SUMIF($I$111:$I$141,I145,$O$111:$O$141)</f>
        <v>0</v>
      </c>
      <c r="P145" s="90"/>
      <c r="Q145" s="119"/>
      <c r="R145" s="8"/>
      <c r="S145" s="5"/>
    </row>
    <row r="146" spans="1:19" s="9" customFormat="1" ht="15.75" customHeight="1" x14ac:dyDescent="0.25">
      <c r="A146" s="244" t="s">
        <v>253</v>
      </c>
      <c r="B146" s="245"/>
      <c r="C146" s="246"/>
      <c r="D146" s="110"/>
      <c r="E146" s="110"/>
      <c r="F146" s="63"/>
      <c r="G146" s="63"/>
      <c r="H146" s="63"/>
      <c r="I146" s="115" t="s">
        <v>27</v>
      </c>
      <c r="J146" s="14">
        <f t="shared" ref="J146:O149" si="8">J51+J62+J73+J107+J117+J142</f>
        <v>340755742.28000003</v>
      </c>
      <c r="K146" s="14">
        <f t="shared" si="8"/>
        <v>144917393.54000002</v>
      </c>
      <c r="L146" s="14">
        <f t="shared" si="8"/>
        <v>0</v>
      </c>
      <c r="M146" s="14">
        <f t="shared" si="8"/>
        <v>57735985.294390991</v>
      </c>
      <c r="N146" s="14">
        <f t="shared" si="8"/>
        <v>22191558.302872021</v>
      </c>
      <c r="O146" s="14">
        <f t="shared" si="8"/>
        <v>87942976.675609007</v>
      </c>
      <c r="P146" s="92"/>
      <c r="Q146" s="122"/>
      <c r="R146" s="8"/>
      <c r="S146" s="5"/>
    </row>
    <row r="147" spans="1:19" s="9" customFormat="1" ht="17.25" customHeight="1" x14ac:dyDescent="0.25">
      <c r="A147" s="238"/>
      <c r="B147" s="239"/>
      <c r="C147" s="240"/>
      <c r="D147" s="33"/>
      <c r="E147" s="33"/>
      <c r="F147" s="42"/>
      <c r="G147" s="42"/>
      <c r="H147" s="42"/>
      <c r="I147" s="116" t="s">
        <v>2</v>
      </c>
      <c r="J147" s="14">
        <f t="shared" si="8"/>
        <v>185559253304.10001</v>
      </c>
      <c r="K147" s="14">
        <f t="shared" si="8"/>
        <v>204036581510.81</v>
      </c>
      <c r="L147" s="14">
        <f t="shared" si="8"/>
        <v>0</v>
      </c>
      <c r="M147" s="14">
        <f t="shared" si="8"/>
        <v>103756795053.8847</v>
      </c>
      <c r="N147" s="14">
        <f t="shared" si="8"/>
        <v>52189251636.167267</v>
      </c>
      <c r="O147" s="14">
        <f t="shared" si="8"/>
        <v>100031216179.12529</v>
      </c>
      <c r="P147" s="88"/>
      <c r="Q147" s="117"/>
      <c r="R147" s="8"/>
      <c r="S147" s="5"/>
    </row>
    <row r="148" spans="1:19" s="9" customFormat="1" ht="15" customHeight="1" x14ac:dyDescent="0.25">
      <c r="A148" s="238"/>
      <c r="B148" s="239"/>
      <c r="C148" s="240"/>
      <c r="D148" s="33"/>
      <c r="E148" s="33"/>
      <c r="F148" s="42"/>
      <c r="G148" s="42"/>
      <c r="H148" s="42"/>
      <c r="I148" s="116" t="s">
        <v>49</v>
      </c>
      <c r="J148" s="14">
        <f t="shared" si="8"/>
        <v>521140620.31999999</v>
      </c>
      <c r="K148" s="14">
        <f t="shared" si="8"/>
        <v>361563058.49000001</v>
      </c>
      <c r="L148" s="14">
        <f t="shared" si="8"/>
        <v>0</v>
      </c>
      <c r="M148" s="14">
        <f t="shared" si="8"/>
        <v>138290878.10792884</v>
      </c>
      <c r="N148" s="14">
        <f t="shared" si="8"/>
        <v>74318484.813423038</v>
      </c>
      <c r="O148" s="14">
        <f t="shared" si="8"/>
        <v>223272180.3820712</v>
      </c>
      <c r="P148" s="88"/>
      <c r="Q148" s="117"/>
      <c r="R148" s="8"/>
      <c r="S148" s="5"/>
    </row>
    <row r="149" spans="1:19" s="9" customFormat="1" ht="25.5" customHeight="1" x14ac:dyDescent="0.25">
      <c r="A149" s="238"/>
      <c r="B149" s="239"/>
      <c r="C149" s="240"/>
      <c r="D149" s="33"/>
      <c r="E149" s="33"/>
      <c r="F149" s="42"/>
      <c r="G149" s="42"/>
      <c r="H149" s="42"/>
      <c r="I149" s="116" t="s">
        <v>69</v>
      </c>
      <c r="J149" s="14">
        <f t="shared" si="8"/>
        <v>31777311969</v>
      </c>
      <c r="K149" s="14">
        <f t="shared" si="8"/>
        <v>31859249643</v>
      </c>
      <c r="L149" s="14">
        <f t="shared" si="8"/>
        <v>0</v>
      </c>
      <c r="M149" s="14">
        <f t="shared" si="8"/>
        <v>12748532590.394199</v>
      </c>
      <c r="N149" s="14">
        <f t="shared" si="8"/>
        <v>3651976207.5861864</v>
      </c>
      <c r="O149" s="14">
        <f t="shared" si="8"/>
        <v>19110717052.605801</v>
      </c>
      <c r="P149" s="89"/>
      <c r="Q149" s="118"/>
      <c r="R149" s="8"/>
      <c r="S149" s="5"/>
    </row>
    <row r="150" spans="1:19" s="9" customFormat="1" ht="15" customHeight="1" thickBot="1" x14ac:dyDescent="0.3">
      <c r="A150" s="241"/>
      <c r="B150" s="242"/>
      <c r="C150" s="243"/>
      <c r="D150" s="107"/>
      <c r="E150" s="107"/>
      <c r="F150" s="45"/>
      <c r="G150" s="45"/>
      <c r="H150" s="45"/>
      <c r="I150" s="116" t="s">
        <v>59</v>
      </c>
      <c r="J150" s="14">
        <f t="shared" ref="J150:O150" si="9">J55</f>
        <v>24086688</v>
      </c>
      <c r="K150" s="14">
        <f t="shared" si="9"/>
        <v>18384172.012149811</v>
      </c>
      <c r="L150" s="14">
        <f t="shared" si="9"/>
        <v>0</v>
      </c>
      <c r="M150" s="14">
        <f t="shared" si="9"/>
        <v>4824455.8054339811</v>
      </c>
      <c r="N150" s="14">
        <f t="shared" si="9"/>
        <v>3135419.4621466845</v>
      </c>
      <c r="O150" s="14">
        <f t="shared" si="9"/>
        <v>13559716.206715828</v>
      </c>
      <c r="P150" s="89"/>
      <c r="Q150" s="118"/>
      <c r="R150" s="8"/>
      <c r="S150" s="5"/>
    </row>
    <row r="151" spans="1:19" ht="51" customHeight="1" thickBot="1" x14ac:dyDescent="0.3">
      <c r="A151" s="64">
        <v>95</v>
      </c>
      <c r="B151" s="65" t="s">
        <v>254</v>
      </c>
      <c r="C151" s="66" t="s">
        <v>255</v>
      </c>
      <c r="D151" s="166" t="s">
        <v>418</v>
      </c>
      <c r="E151" s="166"/>
      <c r="F151" s="166" t="s">
        <v>408</v>
      </c>
      <c r="G151" s="166" t="s">
        <v>348</v>
      </c>
      <c r="H151" s="166" t="s">
        <v>256</v>
      </c>
      <c r="I151" s="66" t="s">
        <v>2</v>
      </c>
      <c r="J151" s="67">
        <f>834800635300+144000000000+32000000000+132000000000+3500000000+14000000000+2900000000+4000000000</f>
        <v>1167200635300</v>
      </c>
      <c r="K151" s="68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L151" s="83">
        <v>1E-4</v>
      </c>
      <c r="M151" s="68"/>
      <c r="N151" s="68"/>
      <c r="O151" s="69">
        <f>K151-M151</f>
        <v>1161789822801.3999</v>
      </c>
      <c r="P151" s="93" t="s">
        <v>73</v>
      </c>
      <c r="Q151" s="123"/>
      <c r="S151" s="9"/>
    </row>
    <row r="152" spans="1:19" ht="17.25" x14ac:dyDescent="0.3">
      <c r="B152" s="70" t="s">
        <v>2</v>
      </c>
      <c r="C152" s="71"/>
      <c r="I152" s="73"/>
      <c r="J152" s="16"/>
      <c r="K152" s="16"/>
      <c r="O152" s="75"/>
      <c r="P152" s="18"/>
      <c r="Q152" s="18"/>
    </row>
    <row r="153" spans="1:19" ht="17.25" x14ac:dyDescent="0.3">
      <c r="B153" s="70" t="s">
        <v>49</v>
      </c>
      <c r="C153" s="71">
        <v>397.92</v>
      </c>
      <c r="J153" s="16"/>
      <c r="K153" s="17"/>
      <c r="L153" s="76"/>
      <c r="N153" s="16"/>
      <c r="O153" s="77"/>
      <c r="P153" s="78"/>
      <c r="Q153" s="78"/>
    </row>
    <row r="154" spans="1:19" ht="17.25" x14ac:dyDescent="0.3">
      <c r="B154" s="70" t="s">
        <v>69</v>
      </c>
      <c r="C154" s="79">
        <v>2.5750000000000002</v>
      </c>
      <c r="K154" s="16"/>
      <c r="N154" s="16"/>
      <c r="O154" s="19"/>
      <c r="P154" s="80"/>
      <c r="Q154" s="80"/>
    </row>
    <row r="155" spans="1:19" ht="17.25" x14ac:dyDescent="0.3">
      <c r="B155" s="70" t="s">
        <v>27</v>
      </c>
      <c r="C155" s="71">
        <v>413.72</v>
      </c>
      <c r="K155" s="17"/>
      <c r="N155" s="16"/>
      <c r="O155" s="17"/>
      <c r="P155" s="80"/>
      <c r="Q155" s="80"/>
    </row>
    <row r="156" spans="1:19" ht="17.25" x14ac:dyDescent="0.3">
      <c r="B156" s="70" t="s">
        <v>59</v>
      </c>
      <c r="C156" s="71">
        <v>519.36</v>
      </c>
      <c r="N156" s="18"/>
      <c r="O156" s="16"/>
      <c r="P156" s="5"/>
      <c r="Q156" s="5"/>
    </row>
    <row r="157" spans="1:19" x14ac:dyDescent="0.25">
      <c r="P157" s="5"/>
      <c r="Q157" s="5"/>
    </row>
    <row r="158" spans="1:19" x14ac:dyDescent="0.25">
      <c r="O158" s="19"/>
    </row>
    <row r="159" spans="1:19" x14ac:dyDescent="0.25">
      <c r="K159" s="19"/>
      <c r="N159" s="16"/>
      <c r="O159" s="19"/>
    </row>
    <row r="160" spans="1:19" x14ac:dyDescent="0.25">
      <c r="O160" s="16"/>
    </row>
    <row r="161" spans="2:19" x14ac:dyDescent="0.25">
      <c r="O161" s="16"/>
    </row>
    <row r="165" spans="2:19" x14ac:dyDescent="0.25">
      <c r="O165" s="16"/>
    </row>
    <row r="166" spans="2:19" s="17" customFormat="1" x14ac:dyDescent="0.25">
      <c r="B166" s="20"/>
      <c r="C166" s="6"/>
      <c r="D166" s="6"/>
      <c r="E166" s="6"/>
      <c r="F166" s="6"/>
      <c r="G166" s="72"/>
      <c r="H166" s="6"/>
      <c r="I166" s="6"/>
      <c r="J166" s="6"/>
      <c r="K166" s="6"/>
      <c r="L166" s="74"/>
      <c r="M166" s="6"/>
      <c r="N166" s="6"/>
      <c r="O166" s="16"/>
      <c r="P166" s="6"/>
      <c r="Q166" s="6"/>
      <c r="R166" s="5"/>
      <c r="S166" s="6"/>
    </row>
    <row r="167" spans="2:19" x14ac:dyDescent="0.25">
      <c r="S167" s="17"/>
    </row>
  </sheetData>
  <sheetProtection formatCells="0" formatColumns="0" formatRows="0"/>
  <protectedRanges>
    <protectedRange password="C670" sqref="K78:Q81 A78:J81 A84:J95 A69:Q72 K84:O95 P84:Q95" name="Maria"/>
    <protectedRange algorithmName="SHA-512" hashValue="R0m7mG/o0t2+7dbQTzM5iQkFX2amgAS+iAGJudQnnweh07e6LDAbSuhvcwbzcp7drP+HIG4d/wHfMCXiBXmkow==" saltValue="hXh6Ce3lteSj/cvmR3BSBw==" spinCount="100000" sqref="P102:Q104 P151:Q151 P121:Q141 A102:N104 A121:N141 A151:N151" name="Narine"/>
    <protectedRange algorithmName="SHA-512" hashValue="vw/tfZfxCvSE0U6Hm2G3C/Aj3bUp3KdD+IHhHinfC+crRPhv3Uapv1zQ/dMQFE5wwqt30lhFdhsH6enTApEPhg==" saltValue="AJSG7Dc7ySbRZF9wPd6fsA==" spinCount="100000" sqref="P104:Q106 A66:J67 A104:N106 K67:N67 K66:M66 P66:Q67" name="Nara"/>
    <protectedRange algorithmName="SHA-512" hashValue="2hnhy85Hze6pXZTujHMyiGA7lE9yapdzAMEgpTAQUbEvX5wkbgVJAYj8efzABUddHb+HHBXm+QO7FFQ7DdcL0Q==" saltValue="/3Se5MhqYIbXZuII16lL6A==" spinCount="100000" sqref="A111:J116 K111:Q116 A77:Q77" name="Nona"/>
    <protectedRange algorithmName="SHA-512" hashValue="vw/tfZfxCvSE0U6Hm2G3C/Aj3bUp3KdD+IHhHinfC+crRPhv3Uapv1zQ/dMQFE5wwqt30lhFdhsH6enTApEPhg==" saltValue="AJSG7Dc7ySbRZF9wPd6fsA==" spinCount="100000" sqref="N66" name="Nara_1"/>
  </protectedRanges>
  <mergeCells count="124">
    <mergeCell ref="A1:P1"/>
    <mergeCell ref="A2:P2"/>
    <mergeCell ref="A5:A6"/>
    <mergeCell ref="E5:E6"/>
    <mergeCell ref="G5:G6"/>
    <mergeCell ref="A9:A10"/>
    <mergeCell ref="C9:C10"/>
    <mergeCell ref="E9:E10"/>
    <mergeCell ref="G9:G10"/>
    <mergeCell ref="H9:H10"/>
    <mergeCell ref="A13:A14"/>
    <mergeCell ref="C13:C14"/>
    <mergeCell ref="E13:E14"/>
    <mergeCell ref="G13:G14"/>
    <mergeCell ref="H13:H14"/>
    <mergeCell ref="P13:P14"/>
    <mergeCell ref="P9:P10"/>
    <mergeCell ref="A11:A12"/>
    <mergeCell ref="C11:C12"/>
    <mergeCell ref="E11:E12"/>
    <mergeCell ref="G11:G12"/>
    <mergeCell ref="H11:H12"/>
    <mergeCell ref="P11:P12"/>
    <mergeCell ref="P15:P16"/>
    <mergeCell ref="A17:A18"/>
    <mergeCell ref="C17:C18"/>
    <mergeCell ref="D17:D18"/>
    <mergeCell ref="E17:E18"/>
    <mergeCell ref="G17:G18"/>
    <mergeCell ref="H17:H18"/>
    <mergeCell ref="P17:P18"/>
    <mergeCell ref="A15:A16"/>
    <mergeCell ref="C15:C16"/>
    <mergeCell ref="D15:D16"/>
    <mergeCell ref="E15:E16"/>
    <mergeCell ref="G15:G16"/>
    <mergeCell ref="H15:H16"/>
    <mergeCell ref="P19:P20"/>
    <mergeCell ref="A21:A22"/>
    <mergeCell ref="G21:G22"/>
    <mergeCell ref="H21:H22"/>
    <mergeCell ref="P21:P22"/>
    <mergeCell ref="A19:A20"/>
    <mergeCell ref="C19:C22"/>
    <mergeCell ref="D19:D22"/>
    <mergeCell ref="E19:E22"/>
    <mergeCell ref="G19:G20"/>
    <mergeCell ref="H19:H20"/>
    <mergeCell ref="C23:C24"/>
    <mergeCell ref="D23:D24"/>
    <mergeCell ref="E23:E24"/>
    <mergeCell ref="H23:H24"/>
    <mergeCell ref="P23:P24"/>
    <mergeCell ref="A25:A26"/>
    <mergeCell ref="C25:C28"/>
    <mergeCell ref="D25:D28"/>
    <mergeCell ref="E25:E28"/>
    <mergeCell ref="G25:G26"/>
    <mergeCell ref="C29:C30"/>
    <mergeCell ref="D29:D30"/>
    <mergeCell ref="E29:E30"/>
    <mergeCell ref="C31:C32"/>
    <mergeCell ref="D31:D32"/>
    <mergeCell ref="E31:E32"/>
    <mergeCell ref="H25:H26"/>
    <mergeCell ref="P25:P26"/>
    <mergeCell ref="A27:A28"/>
    <mergeCell ref="G27:G28"/>
    <mergeCell ref="H27:H28"/>
    <mergeCell ref="P27:P28"/>
    <mergeCell ref="H33:H34"/>
    <mergeCell ref="A36:A38"/>
    <mergeCell ref="C36:C38"/>
    <mergeCell ref="D36:D38"/>
    <mergeCell ref="E36:E38"/>
    <mergeCell ref="G36:G38"/>
    <mergeCell ref="A33:A34"/>
    <mergeCell ref="B33:B34"/>
    <mergeCell ref="C33:C34"/>
    <mergeCell ref="D33:D34"/>
    <mergeCell ref="E33:E34"/>
    <mergeCell ref="G33:G34"/>
    <mergeCell ref="D49:D50"/>
    <mergeCell ref="E49:E50"/>
    <mergeCell ref="A51:C55"/>
    <mergeCell ref="P57:P58"/>
    <mergeCell ref="A60:A61"/>
    <mergeCell ref="C60:C61"/>
    <mergeCell ref="P60:P61"/>
    <mergeCell ref="P36:P38"/>
    <mergeCell ref="B41:B42"/>
    <mergeCell ref="E41:E42"/>
    <mergeCell ref="F41:F42"/>
    <mergeCell ref="A47:A48"/>
    <mergeCell ref="C47:C48"/>
    <mergeCell ref="E47:E48"/>
    <mergeCell ref="G47:G48"/>
    <mergeCell ref="H47:H48"/>
    <mergeCell ref="P47:P48"/>
    <mergeCell ref="P85:P87"/>
    <mergeCell ref="A90:A91"/>
    <mergeCell ref="B90:B91"/>
    <mergeCell ref="C90:C91"/>
    <mergeCell ref="D90:D91"/>
    <mergeCell ref="G90:G91"/>
    <mergeCell ref="P90:P91"/>
    <mergeCell ref="A62:C65"/>
    <mergeCell ref="A73:C76"/>
    <mergeCell ref="A80:A81"/>
    <mergeCell ref="B80:B81"/>
    <mergeCell ref="C80:C81"/>
    <mergeCell ref="H80:H81"/>
    <mergeCell ref="A142:C145"/>
    <mergeCell ref="A146:C150"/>
    <mergeCell ref="P97:P98"/>
    <mergeCell ref="A107:C110"/>
    <mergeCell ref="C112:C114"/>
    <mergeCell ref="A117:C120"/>
    <mergeCell ref="A97:A98"/>
    <mergeCell ref="B97:B98"/>
    <mergeCell ref="C97:C98"/>
    <mergeCell ref="D97:D98"/>
    <mergeCell ref="G97:G98"/>
    <mergeCell ref="H97:H98"/>
  </mergeCells>
  <conditionalFormatting sqref="K5">
    <cfRule type="cellIs" dxfId="11" priority="6" operator="notEqual">
      <formula>#REF!</formula>
    </cfRule>
  </conditionalFormatting>
  <conditionalFormatting sqref="K99 K6:K35 K37:K40 K47:K49 K43:K45">
    <cfRule type="cellIs" dxfId="10" priority="5" operator="notEqual">
      <formula>#REF!</formula>
    </cfRule>
  </conditionalFormatting>
  <conditionalFormatting sqref="J21">
    <cfRule type="cellIs" dxfId="9" priority="4" operator="notEqual">
      <formula>#REF!</formula>
    </cfRule>
  </conditionalFormatting>
  <conditionalFormatting sqref="K50">
    <cfRule type="cellIs" dxfId="8" priority="3" operator="notEqual">
      <formula>#REF!</formula>
    </cfRule>
  </conditionalFormatting>
  <conditionalFormatting sqref="K83">
    <cfRule type="cellIs" dxfId="7" priority="2" operator="notEqual">
      <formula>#REF!</formula>
    </cfRule>
  </conditionalFormatting>
  <conditionalFormatting sqref="K100:K101">
    <cfRule type="cellIs" dxfId="6" priority="1" operator="not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67"/>
  <sheetViews>
    <sheetView tabSelected="1" topLeftCell="B1" zoomScale="90" zoomScaleNormal="90" workbookViewId="0">
      <pane xSplit="1" ySplit="4" topLeftCell="C20" activePane="bottomRight" state="frozen"/>
      <selection activeCell="B1" sqref="B1"/>
      <selection pane="topRight" activeCell="C1" sqref="C1"/>
      <selection pane="bottomLeft" activeCell="B5" sqref="B5"/>
      <selection pane="bottomRight" activeCell="G39" sqref="G39"/>
    </sheetView>
  </sheetViews>
  <sheetFormatPr defaultRowHeight="13.5" outlineLevelRow="1" x14ac:dyDescent="0.25"/>
  <cols>
    <col min="1" max="1" width="6.85546875" style="6" customWidth="1"/>
    <col min="2" max="2" width="30.42578125" style="20" customWidth="1"/>
    <col min="3" max="3" width="30.42578125" style="6" customWidth="1"/>
    <col min="4" max="5" width="19.28515625" style="6" customWidth="1"/>
    <col min="6" max="6" width="23" style="6" customWidth="1"/>
    <col min="7" max="7" width="23.28515625" style="72" customWidth="1"/>
    <col min="8" max="8" width="20.140625" style="6" customWidth="1"/>
    <col min="9" max="9" width="16.42578125" style="6" bestFit="1" customWidth="1"/>
    <col min="10" max="10" width="21.28515625" style="6" customWidth="1"/>
    <col min="11" max="11" width="20.28515625" style="6" customWidth="1"/>
    <col min="12" max="12" width="21.7109375" style="74" customWidth="1"/>
    <col min="13" max="13" width="18.5703125" style="6" customWidth="1"/>
    <col min="14" max="14" width="18.85546875" style="6" bestFit="1" customWidth="1"/>
    <col min="15" max="15" width="26.7109375" style="6" bestFit="1" customWidth="1"/>
    <col min="16" max="16" width="26.42578125" style="6" customWidth="1"/>
    <col min="17" max="17" width="23.42578125" style="6" customWidth="1"/>
    <col min="18" max="18" width="23.5703125" style="5" customWidth="1"/>
    <col min="19" max="19" width="21.85546875" style="6" customWidth="1"/>
    <col min="20" max="16384" width="9.140625" style="6"/>
  </cols>
  <sheetData>
    <row r="1" spans="1:19" ht="22.5" x14ac:dyDescent="0.4">
      <c r="A1" s="272" t="s">
        <v>10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178"/>
    </row>
    <row r="2" spans="1:19" ht="55.5" customHeight="1" x14ac:dyDescent="0.4">
      <c r="A2" s="273" t="s">
        <v>509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179"/>
    </row>
    <row r="3" spans="1:19" ht="33.75" customHeight="1" thickBot="1" x14ac:dyDescent="0.3">
      <c r="A3" s="18"/>
      <c r="C3" s="18"/>
      <c r="D3" s="18"/>
      <c r="E3" s="18"/>
      <c r="F3" s="18"/>
      <c r="G3" s="100"/>
      <c r="H3" s="18"/>
      <c r="I3" s="18"/>
      <c r="J3" s="18"/>
      <c r="K3" s="18"/>
      <c r="L3" s="101"/>
      <c r="M3" s="18"/>
      <c r="N3" s="18"/>
      <c r="O3" s="18"/>
      <c r="P3" s="18"/>
      <c r="Q3" s="7"/>
    </row>
    <row r="4" spans="1:19" s="2" customFormat="1" ht="114" customHeight="1" thickBot="1" x14ac:dyDescent="0.3">
      <c r="A4" s="21" t="s">
        <v>11</v>
      </c>
      <c r="B4" s="22" t="s">
        <v>12</v>
      </c>
      <c r="C4" s="22" t="s">
        <v>13</v>
      </c>
      <c r="D4" s="22" t="s">
        <v>14</v>
      </c>
      <c r="E4" s="22" t="s">
        <v>439</v>
      </c>
      <c r="F4" s="22" t="s">
        <v>431</v>
      </c>
      <c r="G4" s="22" t="s">
        <v>287</v>
      </c>
      <c r="H4" s="22" t="s">
        <v>279</v>
      </c>
      <c r="I4" s="22" t="s">
        <v>15</v>
      </c>
      <c r="J4" s="22" t="s">
        <v>16</v>
      </c>
      <c r="K4" s="22" t="s">
        <v>17</v>
      </c>
      <c r="L4" s="23" t="s">
        <v>18</v>
      </c>
      <c r="M4" s="22" t="s">
        <v>19</v>
      </c>
      <c r="N4" s="22" t="s">
        <v>20</v>
      </c>
      <c r="O4" s="22" t="s">
        <v>21</v>
      </c>
      <c r="P4" s="22" t="s">
        <v>22</v>
      </c>
      <c r="Q4" s="102" t="s">
        <v>432</v>
      </c>
      <c r="R4" s="1"/>
      <c r="S4" s="81"/>
    </row>
    <row r="5" spans="1:19" ht="75" customHeight="1" outlineLevel="1" x14ac:dyDescent="0.25">
      <c r="A5" s="266">
        <v>1</v>
      </c>
      <c r="B5" s="185" t="s">
        <v>23</v>
      </c>
      <c r="C5" s="24" t="s">
        <v>24</v>
      </c>
      <c r="D5" s="189" t="s">
        <v>25</v>
      </c>
      <c r="E5" s="271" t="s">
        <v>440</v>
      </c>
      <c r="F5" s="189" t="s">
        <v>433</v>
      </c>
      <c r="G5" s="268" t="s">
        <v>288</v>
      </c>
      <c r="H5" s="189" t="s">
        <v>26</v>
      </c>
      <c r="I5" s="26" t="s">
        <v>27</v>
      </c>
      <c r="J5" s="196">
        <v>7300000</v>
      </c>
      <c r="K5" s="196">
        <f>5822389.5+13412.1+4470.7+716451.75+24588.85+716451.75+2235.35</f>
        <v>7299999.9999999991</v>
      </c>
      <c r="L5" s="25" t="s">
        <v>28</v>
      </c>
      <c r="M5" s="196">
        <f>595000+119000+119000+119000+119000+119000+119000+49036330/412.07</f>
        <v>1428000</v>
      </c>
      <c r="N5" s="196">
        <f>652083.5+22907.49+9236384.2/412.07</f>
        <v>697405.58994661097</v>
      </c>
      <c r="O5" s="196">
        <f>K5-M5</f>
        <v>5871999.9999999991</v>
      </c>
      <c r="P5" s="126" t="s">
        <v>441</v>
      </c>
      <c r="Q5" s="146" t="s">
        <v>434</v>
      </c>
      <c r="S5" s="5"/>
    </row>
    <row r="6" spans="1:19" ht="75.75" customHeight="1" outlineLevel="1" x14ac:dyDescent="0.25">
      <c r="A6" s="251"/>
      <c r="B6" s="130" t="s">
        <v>23</v>
      </c>
      <c r="C6" s="27" t="s">
        <v>30</v>
      </c>
      <c r="D6" s="189" t="s">
        <v>25</v>
      </c>
      <c r="E6" s="271"/>
      <c r="F6" s="135" t="s">
        <v>433</v>
      </c>
      <c r="G6" s="270"/>
      <c r="H6" s="135" t="s">
        <v>31</v>
      </c>
      <c r="I6" s="131" t="s">
        <v>27</v>
      </c>
      <c r="J6" s="152">
        <v>7300000</v>
      </c>
      <c r="K6" s="152">
        <v>7299999.9999999981</v>
      </c>
      <c r="L6" s="137" t="s">
        <v>32</v>
      </c>
      <c r="M6" s="152">
        <f>5474999.9+304166.7+304166.7+304166.7+304166.7+304166.7+304167</f>
        <v>7300000.4000000013</v>
      </c>
      <c r="N6" s="152">
        <f>1226756+8356.16+4154.77</f>
        <v>1239266.93</v>
      </c>
      <c r="O6" s="152">
        <f t="shared" ref="O6:O35" si="0">K6-M6</f>
        <v>-0.40000000316649675</v>
      </c>
      <c r="P6" s="84" t="s">
        <v>33</v>
      </c>
      <c r="Q6" s="97" t="s">
        <v>502</v>
      </c>
      <c r="S6" s="5"/>
    </row>
    <row r="7" spans="1:19" ht="79.5" customHeight="1" outlineLevel="1" x14ac:dyDescent="0.25">
      <c r="A7" s="129">
        <v>2</v>
      </c>
      <c r="B7" s="130" t="s">
        <v>23</v>
      </c>
      <c r="C7" s="130" t="s">
        <v>34</v>
      </c>
      <c r="D7" s="135" t="s">
        <v>25</v>
      </c>
      <c r="E7" s="182" t="s">
        <v>442</v>
      </c>
      <c r="F7" s="135" t="s">
        <v>433</v>
      </c>
      <c r="G7" s="182" t="s">
        <v>289</v>
      </c>
      <c r="H7" s="135" t="s">
        <v>35</v>
      </c>
      <c r="I7" s="131" t="s">
        <v>27</v>
      </c>
      <c r="J7" s="152">
        <v>14060526.73</v>
      </c>
      <c r="K7" s="152">
        <v>14060526.73</v>
      </c>
      <c r="L7" s="151">
        <v>7.4999999999999997E-3</v>
      </c>
      <c r="M7" s="152">
        <f>5858552.73979552+234342.1+234342.1+98055764.9/418.43+98932204.4/422.17+104987604.2/448.01+97345708.3/415.4+96565349.2/412.07</f>
        <v>7498947.4398756567</v>
      </c>
      <c r="N7" s="152">
        <f>1294472.69934396+40254.3+39195.3+16095956/418.43+15796672.6/422.17+16433280.1/448.01+14866002.9/415.4+14315888.7/412.07</f>
        <v>1557016.8093066525</v>
      </c>
      <c r="O7" s="152">
        <f t="shared" si="0"/>
        <v>6561579.2901243437</v>
      </c>
      <c r="P7" s="84" t="s">
        <v>29</v>
      </c>
      <c r="Q7" s="97" t="s">
        <v>434</v>
      </c>
      <c r="S7" s="5"/>
    </row>
    <row r="8" spans="1:19" ht="78.75" customHeight="1" outlineLevel="1" x14ac:dyDescent="0.25">
      <c r="A8" s="129">
        <v>3</v>
      </c>
      <c r="B8" s="130" t="s">
        <v>23</v>
      </c>
      <c r="C8" s="130" t="s">
        <v>36</v>
      </c>
      <c r="D8" s="135" t="s">
        <v>25</v>
      </c>
      <c r="E8" s="182" t="s">
        <v>447</v>
      </c>
      <c r="F8" s="135" t="s">
        <v>433</v>
      </c>
      <c r="G8" s="134" t="s">
        <v>290</v>
      </c>
      <c r="H8" s="135" t="s">
        <v>37</v>
      </c>
      <c r="I8" s="131" t="s">
        <v>27</v>
      </c>
      <c r="J8" s="152">
        <v>75000000</v>
      </c>
      <c r="K8" s="152"/>
      <c r="L8" s="151" t="s">
        <v>38</v>
      </c>
      <c r="M8" s="152"/>
      <c r="N8" s="152">
        <f>1932812.5+93750+93750+93750+93750+42000937.5/448.01+38943750/415.4+38631562.5/412.07</f>
        <v>2589062.5</v>
      </c>
      <c r="O8" s="152">
        <f t="shared" si="0"/>
        <v>0</v>
      </c>
      <c r="P8" s="84" t="s">
        <v>33</v>
      </c>
      <c r="Q8" s="97" t="s">
        <v>434</v>
      </c>
      <c r="S8" s="5"/>
    </row>
    <row r="9" spans="1:19" ht="81.75" customHeight="1" outlineLevel="1" x14ac:dyDescent="0.25">
      <c r="A9" s="250">
        <v>4</v>
      </c>
      <c r="B9" s="184" t="s">
        <v>23</v>
      </c>
      <c r="C9" s="247" t="s">
        <v>36</v>
      </c>
      <c r="D9" s="135" t="s">
        <v>25</v>
      </c>
      <c r="E9" s="267" t="s">
        <v>447</v>
      </c>
      <c r="F9" s="135" t="s">
        <v>433</v>
      </c>
      <c r="G9" s="262" t="s">
        <v>290</v>
      </c>
      <c r="H9" s="254" t="s">
        <v>39</v>
      </c>
      <c r="I9" s="131" t="s">
        <v>27</v>
      </c>
      <c r="J9" s="152">
        <v>10200000</v>
      </c>
      <c r="K9" s="152">
        <v>1394165.42</v>
      </c>
      <c r="L9" s="127" t="s">
        <v>28</v>
      </c>
      <c r="M9" s="152">
        <v>0</v>
      </c>
      <c r="N9" s="152">
        <f>200690.672577969+15587.2+6522152.1/418.43+6580448.3/422.17+6983221.5/448.01+6474922.9/415.4+6488083.3/412.07</f>
        <v>294371.77273986983</v>
      </c>
      <c r="O9" s="152">
        <f>K9-M9</f>
        <v>1394165.42</v>
      </c>
      <c r="P9" s="247" t="s">
        <v>33</v>
      </c>
      <c r="Q9" s="97" t="s">
        <v>434</v>
      </c>
      <c r="S9" s="5"/>
    </row>
    <row r="10" spans="1:19" ht="76.5" customHeight="1" outlineLevel="1" x14ac:dyDescent="0.25">
      <c r="A10" s="251"/>
      <c r="B10" s="184" t="s">
        <v>23</v>
      </c>
      <c r="C10" s="248"/>
      <c r="D10" s="135" t="s">
        <v>418</v>
      </c>
      <c r="E10" s="268"/>
      <c r="F10" s="189" t="s">
        <v>435</v>
      </c>
      <c r="G10" s="263"/>
      <c r="H10" s="255"/>
      <c r="I10" s="131" t="s">
        <v>2</v>
      </c>
      <c r="J10" s="152"/>
      <c r="K10" s="152">
        <v>267052669.90000001</v>
      </c>
      <c r="L10" s="127" t="s">
        <v>28</v>
      </c>
      <c r="M10" s="152"/>
      <c r="N10" s="152">
        <f>9774294.3+915305.4+915305.4+915305.4+915305.4+937784.6</f>
        <v>14373300.500000002</v>
      </c>
      <c r="O10" s="152">
        <f>K10-M10</f>
        <v>267052669.90000001</v>
      </c>
      <c r="P10" s="248"/>
      <c r="Q10" s="146" t="s">
        <v>434</v>
      </c>
      <c r="S10" s="5"/>
    </row>
    <row r="11" spans="1:19" ht="76.5" customHeight="1" outlineLevel="1" x14ac:dyDescent="0.25">
      <c r="A11" s="250">
        <v>5</v>
      </c>
      <c r="B11" s="184" t="s">
        <v>23</v>
      </c>
      <c r="C11" s="247" t="s">
        <v>40</v>
      </c>
      <c r="D11" s="135" t="s">
        <v>122</v>
      </c>
      <c r="E11" s="262" t="s">
        <v>448</v>
      </c>
      <c r="F11" s="135" t="s">
        <v>433</v>
      </c>
      <c r="G11" s="262" t="s">
        <v>291</v>
      </c>
      <c r="H11" s="254" t="s">
        <v>41</v>
      </c>
      <c r="I11" s="131" t="s">
        <v>27</v>
      </c>
      <c r="J11" s="152">
        <v>10000000</v>
      </c>
      <c r="K11" s="152"/>
      <c r="L11" s="127" t="s">
        <v>42</v>
      </c>
      <c r="M11" s="152"/>
      <c r="N11" s="152">
        <v>50000</v>
      </c>
      <c r="O11" s="152">
        <f>K11-M11</f>
        <v>0</v>
      </c>
      <c r="P11" s="247" t="s">
        <v>43</v>
      </c>
      <c r="Q11" s="97" t="s">
        <v>434</v>
      </c>
      <c r="S11" s="5"/>
    </row>
    <row r="12" spans="1:19" ht="76.5" customHeight="1" outlineLevel="1" x14ac:dyDescent="0.25">
      <c r="A12" s="251"/>
      <c r="B12" s="184" t="s">
        <v>23</v>
      </c>
      <c r="C12" s="248"/>
      <c r="D12" s="135" t="s">
        <v>418</v>
      </c>
      <c r="E12" s="263"/>
      <c r="F12" s="135" t="s">
        <v>435</v>
      </c>
      <c r="G12" s="263"/>
      <c r="H12" s="255"/>
      <c r="I12" s="135" t="s">
        <v>2</v>
      </c>
      <c r="J12" s="152"/>
      <c r="K12" s="152"/>
      <c r="L12" s="127" t="s">
        <v>42</v>
      </c>
      <c r="M12" s="152"/>
      <c r="N12" s="152"/>
      <c r="O12" s="152">
        <f t="shared" si="0"/>
        <v>0</v>
      </c>
      <c r="P12" s="248"/>
      <c r="Q12" s="146" t="s">
        <v>434</v>
      </c>
      <c r="S12" s="5"/>
    </row>
    <row r="13" spans="1:19" ht="76.5" customHeight="1" outlineLevel="1" x14ac:dyDescent="0.25">
      <c r="A13" s="250">
        <v>6</v>
      </c>
      <c r="B13" s="184" t="s">
        <v>23</v>
      </c>
      <c r="C13" s="247" t="s">
        <v>44</v>
      </c>
      <c r="D13" s="135" t="s">
        <v>25</v>
      </c>
      <c r="E13" s="262" t="s">
        <v>449</v>
      </c>
      <c r="F13" s="135" t="s">
        <v>433</v>
      </c>
      <c r="G13" s="262" t="s">
        <v>292</v>
      </c>
      <c r="H13" s="254" t="s">
        <v>45</v>
      </c>
      <c r="I13" s="131" t="s">
        <v>27</v>
      </c>
      <c r="J13" s="152">
        <v>83000000</v>
      </c>
      <c r="K13" s="152"/>
      <c r="L13" s="127" t="s">
        <v>419</v>
      </c>
      <c r="M13" s="152"/>
      <c r="N13" s="152">
        <f>1930326.40003794+103750+103750+103750+103750+46481037.5/448.01+43097750/415.4+42752262.5/412.07</f>
        <v>2656576.4000379397</v>
      </c>
      <c r="O13" s="152">
        <f t="shared" si="0"/>
        <v>0</v>
      </c>
      <c r="P13" s="247" t="s">
        <v>33</v>
      </c>
      <c r="Q13" s="97" t="s">
        <v>434</v>
      </c>
      <c r="S13" s="5"/>
    </row>
    <row r="14" spans="1:19" ht="76.5" customHeight="1" outlineLevel="1" x14ac:dyDescent="0.25">
      <c r="A14" s="251"/>
      <c r="B14" s="184" t="s">
        <v>23</v>
      </c>
      <c r="C14" s="248"/>
      <c r="D14" s="135" t="s">
        <v>418</v>
      </c>
      <c r="E14" s="263"/>
      <c r="F14" s="135" t="s">
        <v>435</v>
      </c>
      <c r="G14" s="263"/>
      <c r="H14" s="255"/>
      <c r="I14" s="135" t="s">
        <v>2</v>
      </c>
      <c r="J14" s="152"/>
      <c r="K14" s="152"/>
      <c r="L14" s="127" t="s">
        <v>419</v>
      </c>
      <c r="M14" s="152"/>
      <c r="N14" s="152"/>
      <c r="O14" s="152">
        <f t="shared" si="0"/>
        <v>0</v>
      </c>
      <c r="P14" s="248"/>
      <c r="Q14" s="146" t="s">
        <v>434</v>
      </c>
      <c r="R14" s="8"/>
      <c r="S14" s="5"/>
    </row>
    <row r="15" spans="1:19" ht="96.75" customHeight="1" outlineLevel="1" x14ac:dyDescent="0.25">
      <c r="A15" s="250">
        <v>7</v>
      </c>
      <c r="B15" s="184" t="s">
        <v>23</v>
      </c>
      <c r="C15" s="247" t="s">
        <v>46</v>
      </c>
      <c r="D15" s="254" t="s">
        <v>47</v>
      </c>
      <c r="E15" s="262" t="s">
        <v>450</v>
      </c>
      <c r="F15" s="135" t="s">
        <v>433</v>
      </c>
      <c r="G15" s="262" t="s">
        <v>293</v>
      </c>
      <c r="H15" s="254" t="s">
        <v>48</v>
      </c>
      <c r="I15" s="131" t="s">
        <v>49</v>
      </c>
      <c r="J15" s="152">
        <f>35500000-1434414.8</f>
        <v>34065585.200000003</v>
      </c>
      <c r="K15" s="152">
        <v>34065585.200000003</v>
      </c>
      <c r="L15" s="144" t="s">
        <v>351</v>
      </c>
      <c r="M15" s="152">
        <f>3406558.5+438685248.4/386.33+457603003.3/402.99+440229555/387.69+440172817.8/387.64</f>
        <v>7948636.6001575328</v>
      </c>
      <c r="N15" s="152">
        <f>6927866.15+372600334/386.33+433310604.9/402.99+419066992.3/387.69+399479184.6/387.64</f>
        <v>11079041.449912922</v>
      </c>
      <c r="O15" s="152">
        <f t="shared" si="0"/>
        <v>26116948.59984247</v>
      </c>
      <c r="P15" s="247" t="s">
        <v>50</v>
      </c>
      <c r="Q15" s="97" t="s">
        <v>434</v>
      </c>
      <c r="R15" s="8"/>
      <c r="S15" s="5"/>
    </row>
    <row r="16" spans="1:19" ht="81.75" customHeight="1" outlineLevel="1" x14ac:dyDescent="0.25">
      <c r="A16" s="251"/>
      <c r="B16" s="184" t="s">
        <v>23</v>
      </c>
      <c r="C16" s="248"/>
      <c r="D16" s="255"/>
      <c r="E16" s="263"/>
      <c r="F16" s="135" t="s">
        <v>435</v>
      </c>
      <c r="G16" s="263"/>
      <c r="H16" s="255"/>
      <c r="I16" s="135" t="s">
        <v>2</v>
      </c>
      <c r="J16" s="152"/>
      <c r="K16" s="152">
        <v>3680136115.8000002</v>
      </c>
      <c r="L16" s="144" t="s">
        <v>351</v>
      </c>
      <c r="M16" s="152">
        <f>387003402.1+121967878.3+121967878.3+121967878.3+121967878.2</f>
        <v>874874915.20000005</v>
      </c>
      <c r="N16" s="152">
        <f>743758864.24+103594252.5+115493072.7+116104685.6+110692047.4</f>
        <v>1189642922.4400001</v>
      </c>
      <c r="O16" s="152">
        <f t="shared" si="0"/>
        <v>2805261200.6000004</v>
      </c>
      <c r="P16" s="248"/>
      <c r="Q16" s="146" t="s">
        <v>434</v>
      </c>
      <c r="R16" s="8"/>
      <c r="S16" s="5"/>
    </row>
    <row r="17" spans="1:18" s="5" customFormat="1" ht="66.75" customHeight="1" outlineLevel="1" x14ac:dyDescent="0.25">
      <c r="A17" s="250">
        <v>8</v>
      </c>
      <c r="B17" s="184" t="s">
        <v>23</v>
      </c>
      <c r="C17" s="247" t="s">
        <v>51</v>
      </c>
      <c r="D17" s="254" t="s">
        <v>47</v>
      </c>
      <c r="E17" s="262" t="s">
        <v>451</v>
      </c>
      <c r="F17" s="135" t="s">
        <v>433</v>
      </c>
      <c r="G17" s="262" t="s">
        <v>294</v>
      </c>
      <c r="H17" s="262" t="s">
        <v>52</v>
      </c>
      <c r="I17" s="131" t="s">
        <v>49</v>
      </c>
      <c r="J17" s="28">
        <f>40000000-2500000-1500000</f>
        <v>36000000</v>
      </c>
      <c r="K17" s="152">
        <v>25459684.080000002</v>
      </c>
      <c r="L17" s="151" t="s">
        <v>351</v>
      </c>
      <c r="M17" s="152">
        <f>329635002.4/388.42+336424290.8/396.42</f>
        <v>1697312.3000877418</v>
      </c>
      <c r="N17" s="152">
        <f>4091306.45123489+373977422.6/403.57+376544951.9/388.42+344941572.7/396.42</f>
        <v>6857548.4512623288</v>
      </c>
      <c r="O17" s="152">
        <f t="shared" si="0"/>
        <v>23762371.779912259</v>
      </c>
      <c r="P17" s="247" t="s">
        <v>50</v>
      </c>
      <c r="Q17" s="97" t="s">
        <v>434</v>
      </c>
      <c r="R17" s="8"/>
    </row>
    <row r="18" spans="1:18" s="5" customFormat="1" ht="58.5" customHeight="1" outlineLevel="1" x14ac:dyDescent="0.25">
      <c r="A18" s="251"/>
      <c r="B18" s="184" t="s">
        <v>23</v>
      </c>
      <c r="C18" s="248"/>
      <c r="D18" s="255"/>
      <c r="E18" s="263"/>
      <c r="F18" s="135" t="s">
        <v>435</v>
      </c>
      <c r="G18" s="263"/>
      <c r="H18" s="263"/>
      <c r="I18" s="135" t="s">
        <v>2</v>
      </c>
      <c r="J18" s="28"/>
      <c r="K18" s="152">
        <v>1298785286.0000002</v>
      </c>
      <c r="L18" s="151" t="s">
        <v>351</v>
      </c>
      <c r="M18" s="152">
        <f>563212.2+43274069.1+43274069.2</f>
        <v>87111350.5</v>
      </c>
      <c r="N18" s="152">
        <f>165583419.3+41681454.8+49409773.1+44369647.7</f>
        <v>301044294.90000004</v>
      </c>
      <c r="O18" s="152">
        <f t="shared" si="0"/>
        <v>1211673935.5000002</v>
      </c>
      <c r="P18" s="248"/>
      <c r="Q18" s="146" t="s">
        <v>434</v>
      </c>
      <c r="R18" s="8"/>
    </row>
    <row r="19" spans="1:18" s="5" customFormat="1" ht="70.5" customHeight="1" outlineLevel="1" x14ac:dyDescent="0.25">
      <c r="A19" s="250">
        <v>9</v>
      </c>
      <c r="B19" s="192" t="s">
        <v>23</v>
      </c>
      <c r="C19" s="247" t="s">
        <v>53</v>
      </c>
      <c r="D19" s="254" t="s">
        <v>47</v>
      </c>
      <c r="E19" s="270" t="s">
        <v>443</v>
      </c>
      <c r="F19" s="135" t="s">
        <v>433</v>
      </c>
      <c r="G19" s="271" t="s">
        <v>295</v>
      </c>
      <c r="H19" s="262" t="s">
        <v>54</v>
      </c>
      <c r="I19" s="131" t="s">
        <v>49</v>
      </c>
      <c r="J19" s="28">
        <v>23194486</v>
      </c>
      <c r="K19" s="152">
        <v>16720826.98</v>
      </c>
      <c r="L19" s="127" t="s">
        <v>351</v>
      </c>
      <c r="M19" s="152">
        <v>0</v>
      </c>
      <c r="N19" s="152">
        <f>1316813.632+122778919.2/386.33+153358408.7/402.99+182294474.3/387.69+212998140.2/387.64</f>
        <v>3034854.3323239107</v>
      </c>
      <c r="O19" s="152">
        <f t="shared" si="0"/>
        <v>16720826.98</v>
      </c>
      <c r="P19" s="247" t="s">
        <v>50</v>
      </c>
      <c r="Q19" s="97" t="s">
        <v>434</v>
      </c>
      <c r="R19" s="8"/>
    </row>
    <row r="20" spans="1:18" s="5" customFormat="1" ht="66.75" customHeight="1" outlineLevel="1" x14ac:dyDescent="0.25">
      <c r="A20" s="251"/>
      <c r="B20" s="192" t="s">
        <v>23</v>
      </c>
      <c r="C20" s="249"/>
      <c r="D20" s="269"/>
      <c r="E20" s="270"/>
      <c r="F20" s="135" t="s">
        <v>435</v>
      </c>
      <c r="G20" s="271"/>
      <c r="H20" s="263"/>
      <c r="I20" s="135" t="s">
        <v>2</v>
      </c>
      <c r="J20" s="28"/>
      <c r="K20" s="152">
        <v>1973636541.8999999</v>
      </c>
      <c r="L20" s="127" t="s">
        <v>351</v>
      </c>
      <c r="M20" s="152">
        <v>91463799.799999997</v>
      </c>
      <c r="N20" s="152">
        <f>119885553.7+36155098.5+43333756.7+53344969.4+61110243.5</f>
        <v>313829621.79999995</v>
      </c>
      <c r="O20" s="152">
        <f t="shared" si="0"/>
        <v>1882172742.0999999</v>
      </c>
      <c r="P20" s="248"/>
      <c r="Q20" s="97" t="s">
        <v>434</v>
      </c>
      <c r="R20" s="8"/>
    </row>
    <row r="21" spans="1:18" s="5" customFormat="1" ht="48" customHeight="1" outlineLevel="1" x14ac:dyDescent="0.25">
      <c r="A21" s="250">
        <v>10</v>
      </c>
      <c r="B21" s="192" t="s">
        <v>55</v>
      </c>
      <c r="C21" s="249"/>
      <c r="D21" s="269"/>
      <c r="E21" s="270"/>
      <c r="F21" s="135" t="s">
        <v>433</v>
      </c>
      <c r="G21" s="262" t="s">
        <v>296</v>
      </c>
      <c r="H21" s="262" t="s">
        <v>54</v>
      </c>
      <c r="I21" s="131" t="s">
        <v>49</v>
      </c>
      <c r="J21" s="152">
        <v>16662617.070000002</v>
      </c>
      <c r="K21" s="152">
        <v>16662617.070000002</v>
      </c>
      <c r="L21" s="127" t="s">
        <v>351</v>
      </c>
      <c r="M21" s="152"/>
      <c r="N21" s="152">
        <f>2194958+182027405/386.38+218562808/403.19+223111756.9/387.69+221137804.8/387.64</f>
        <v>4354113.9020888004</v>
      </c>
      <c r="O21" s="152">
        <f t="shared" si="0"/>
        <v>16662617.070000002</v>
      </c>
      <c r="P21" s="247" t="s">
        <v>50</v>
      </c>
      <c r="Q21" s="130" t="s">
        <v>434</v>
      </c>
      <c r="R21" s="8"/>
    </row>
    <row r="22" spans="1:18" s="5" customFormat="1" ht="54.75" customHeight="1" outlineLevel="1" x14ac:dyDescent="0.25">
      <c r="A22" s="251"/>
      <c r="B22" s="192" t="s">
        <v>55</v>
      </c>
      <c r="C22" s="248"/>
      <c r="D22" s="255"/>
      <c r="E22" s="270"/>
      <c r="F22" s="135" t="s">
        <v>435</v>
      </c>
      <c r="G22" s="263"/>
      <c r="H22" s="263"/>
      <c r="I22" s="131" t="s">
        <v>2</v>
      </c>
      <c r="J22" s="33"/>
      <c r="K22" s="152">
        <v>2003005775.2</v>
      </c>
      <c r="L22" s="127" t="s">
        <v>351</v>
      </c>
      <c r="M22" s="152"/>
      <c r="N22" s="152">
        <f>238604865.8+56631905+65163658.9+69156989.1+68598623.2</f>
        <v>498156041.99999994</v>
      </c>
      <c r="O22" s="152">
        <f t="shared" si="0"/>
        <v>2003005775.2</v>
      </c>
      <c r="P22" s="248"/>
      <c r="Q22" s="130" t="s">
        <v>434</v>
      </c>
      <c r="R22" s="8"/>
    </row>
    <row r="23" spans="1:18" s="5" customFormat="1" ht="54.75" customHeight="1" outlineLevel="1" x14ac:dyDescent="0.25">
      <c r="A23" s="180"/>
      <c r="B23" s="184" t="s">
        <v>23</v>
      </c>
      <c r="C23" s="247" t="s">
        <v>498</v>
      </c>
      <c r="D23" s="254" t="s">
        <v>47</v>
      </c>
      <c r="E23" s="267" t="s">
        <v>499</v>
      </c>
      <c r="F23" s="135" t="s">
        <v>433</v>
      </c>
      <c r="G23" s="176"/>
      <c r="H23" s="267" t="s">
        <v>500</v>
      </c>
      <c r="I23" s="131" t="s">
        <v>49</v>
      </c>
      <c r="J23" s="28">
        <v>40000000</v>
      </c>
      <c r="K23" s="152">
        <v>100000</v>
      </c>
      <c r="L23" s="127"/>
      <c r="M23" s="152"/>
      <c r="N23" s="152"/>
      <c r="O23" s="152">
        <f t="shared" si="0"/>
        <v>100000</v>
      </c>
      <c r="P23" s="247" t="s">
        <v>50</v>
      </c>
      <c r="Q23" s="130" t="s">
        <v>434</v>
      </c>
      <c r="R23" s="8"/>
    </row>
    <row r="24" spans="1:18" s="5" customFormat="1" ht="54.75" customHeight="1" outlineLevel="1" x14ac:dyDescent="0.25">
      <c r="A24" s="180"/>
      <c r="B24" s="184" t="s">
        <v>23</v>
      </c>
      <c r="C24" s="248"/>
      <c r="D24" s="255"/>
      <c r="E24" s="268"/>
      <c r="F24" s="135" t="s">
        <v>435</v>
      </c>
      <c r="G24" s="176"/>
      <c r="H24" s="268"/>
      <c r="I24" s="131" t="s">
        <v>2</v>
      </c>
      <c r="J24" s="28"/>
      <c r="K24" s="152"/>
      <c r="L24" s="127"/>
      <c r="M24" s="152"/>
      <c r="N24" s="152"/>
      <c r="O24" s="152">
        <f t="shared" si="0"/>
        <v>0</v>
      </c>
      <c r="P24" s="248"/>
      <c r="Q24" s="130" t="s">
        <v>434</v>
      </c>
      <c r="R24" s="8"/>
    </row>
    <row r="25" spans="1:18" s="5" customFormat="1" ht="57.75" customHeight="1" outlineLevel="1" x14ac:dyDescent="0.25">
      <c r="A25" s="250">
        <v>11</v>
      </c>
      <c r="B25" s="192" t="s">
        <v>23</v>
      </c>
      <c r="C25" s="247" t="s">
        <v>56</v>
      </c>
      <c r="D25" s="254" t="s">
        <v>57</v>
      </c>
      <c r="E25" s="270" t="s">
        <v>452</v>
      </c>
      <c r="F25" s="135" t="s">
        <v>433</v>
      </c>
      <c r="G25" s="262" t="s">
        <v>294</v>
      </c>
      <c r="H25" s="254" t="s">
        <v>58</v>
      </c>
      <c r="I25" s="131" t="s">
        <v>59</v>
      </c>
      <c r="J25" s="29">
        <v>13988153</v>
      </c>
      <c r="K25" s="152">
        <v>8262785.6411363389</v>
      </c>
      <c r="L25" s="127">
        <v>3.1399999999999997E-2</v>
      </c>
      <c r="M25" s="152">
        <f>1430873.60020494+107795234.9/520.68+109739226/530.07+105995907.4/511.99+105780752.2/510.95</f>
        <v>2258984.1004025689</v>
      </c>
      <c r="N25" s="152">
        <f>1219413.93+55848657.5/520.68+55104222/530.07+51579050.2/511.99+49822785.6/510.95</f>
        <v>1628883.8301780142</v>
      </c>
      <c r="O25" s="152">
        <f t="shared" si="0"/>
        <v>6003801.5407337695</v>
      </c>
      <c r="P25" s="247" t="s">
        <v>50</v>
      </c>
      <c r="Q25" s="97" t="s">
        <v>434</v>
      </c>
      <c r="R25" s="8"/>
    </row>
    <row r="26" spans="1:18" s="5" customFormat="1" ht="59.25" customHeight="1" outlineLevel="1" x14ac:dyDescent="0.25">
      <c r="A26" s="251"/>
      <c r="B26" s="192" t="s">
        <v>23</v>
      </c>
      <c r="C26" s="249"/>
      <c r="D26" s="269"/>
      <c r="E26" s="270"/>
      <c r="F26" s="135" t="s">
        <v>435</v>
      </c>
      <c r="G26" s="263"/>
      <c r="H26" s="255"/>
      <c r="I26" s="135" t="s">
        <v>2</v>
      </c>
      <c r="J26" s="30"/>
      <c r="K26" s="152">
        <v>1194787815</v>
      </c>
      <c r="L26" s="127">
        <v>3.1399999999999997E-2</v>
      </c>
      <c r="M26" s="152">
        <f>209123295.3+29868621.8+29868621.8+29868621.8+29868621.8</f>
        <v>328597782.50000006</v>
      </c>
      <c r="N26" s="152">
        <f>177460224.6+15474933+14998180+14534453+14068120.9</f>
        <v>236535911.5</v>
      </c>
      <c r="O26" s="152">
        <f t="shared" si="0"/>
        <v>866190032.5</v>
      </c>
      <c r="P26" s="248"/>
      <c r="Q26" s="97" t="s">
        <v>434</v>
      </c>
      <c r="R26" s="8"/>
    </row>
    <row r="27" spans="1:18" s="5" customFormat="1" ht="51.75" customHeight="1" outlineLevel="1" x14ac:dyDescent="0.25">
      <c r="A27" s="250">
        <v>12</v>
      </c>
      <c r="B27" s="192" t="s">
        <v>60</v>
      </c>
      <c r="C27" s="249"/>
      <c r="D27" s="269"/>
      <c r="E27" s="270"/>
      <c r="F27" s="135" t="s">
        <v>433</v>
      </c>
      <c r="G27" s="262" t="s">
        <v>297</v>
      </c>
      <c r="H27" s="254" t="s">
        <v>58</v>
      </c>
      <c r="I27" s="131" t="s">
        <v>59</v>
      </c>
      <c r="J27" s="29">
        <v>10098535</v>
      </c>
      <c r="K27" s="152">
        <v>10121386.37101347</v>
      </c>
      <c r="L27" s="127">
        <v>3.1399999999999997E-2</v>
      </c>
      <c r="M27" s="152">
        <f>1520990.1+136750579/520.29+138244588/530.59+133398381/511.99+133127359/510.95</f>
        <v>2565471.7050314122</v>
      </c>
      <c r="N27" s="152">
        <f>832426.027338+83294453/525+70252782/520.29+69454072/530.59+64924992/511.99+62703018/510.95</f>
        <v>1506535.6319686701</v>
      </c>
      <c r="O27" s="152">
        <f t="shared" si="0"/>
        <v>7555914.6659820583</v>
      </c>
      <c r="P27" s="247" t="s">
        <v>50</v>
      </c>
      <c r="Q27" s="97" t="s">
        <v>434</v>
      </c>
      <c r="R27" s="8"/>
    </row>
    <row r="28" spans="1:18" s="5" customFormat="1" ht="47.25" customHeight="1" outlineLevel="1" x14ac:dyDescent="0.25">
      <c r="A28" s="251"/>
      <c r="B28" s="192" t="s">
        <v>60</v>
      </c>
      <c r="C28" s="248"/>
      <c r="D28" s="255"/>
      <c r="E28" s="270"/>
      <c r="F28" s="135" t="s">
        <v>435</v>
      </c>
      <c r="G28" s="263"/>
      <c r="H28" s="255"/>
      <c r="I28" s="135" t="s">
        <v>2</v>
      </c>
      <c r="J28" s="30"/>
      <c r="K28" s="152">
        <v>794162455.89999998</v>
      </c>
      <c r="L28" s="127">
        <v>3.1399999999999997E-2</v>
      </c>
      <c r="M28" s="152">
        <f>123592049.7+20623615+20310837+20310837+20310838</f>
        <v>205148176.69999999</v>
      </c>
      <c r="N28" s="152">
        <f>78534680.8+10527955+10204165+9885285+9566405</f>
        <v>118718490.8</v>
      </c>
      <c r="O28" s="152">
        <f t="shared" si="0"/>
        <v>589014279.20000005</v>
      </c>
      <c r="P28" s="248"/>
      <c r="Q28" s="97" t="s">
        <v>434</v>
      </c>
      <c r="R28" s="8"/>
    </row>
    <row r="29" spans="1:18" s="5" customFormat="1" ht="48" customHeight="1" outlineLevel="1" x14ac:dyDescent="0.25">
      <c r="A29" s="129">
        <v>13</v>
      </c>
      <c r="B29" s="136" t="s">
        <v>23</v>
      </c>
      <c r="C29" s="247" t="s">
        <v>61</v>
      </c>
      <c r="D29" s="254" t="s">
        <v>62</v>
      </c>
      <c r="E29" s="267" t="s">
        <v>453</v>
      </c>
      <c r="F29" s="135" t="s">
        <v>433</v>
      </c>
      <c r="G29" s="134" t="s">
        <v>298</v>
      </c>
      <c r="H29" s="135" t="s">
        <v>63</v>
      </c>
      <c r="I29" s="131" t="s">
        <v>49</v>
      </c>
      <c r="J29" s="152">
        <v>19600000</v>
      </c>
      <c r="K29" s="152">
        <v>19419334.870000001</v>
      </c>
      <c r="L29" s="153">
        <v>5.0000000000000001E-3</v>
      </c>
      <c r="M29" s="152">
        <f>9716960.66852489+189584407.5/488.5+172026989.7/443.26+153375144/395.2+150045288.9/386.62+156421689.8/403.05+150324717.3/387.34+155746404.5/401.31</f>
        <v>12433625.668773536</v>
      </c>
      <c r="N29" s="152">
        <f>1129921.93024286+16077756.3/488.5+14096288.6/443.26+12233850.7/395.2+11546870.2/386.62+11574265.9/403.05+10860006.5/387.34+10861254.5/401.31</f>
        <v>1339276.7301463305</v>
      </c>
      <c r="O29" s="152">
        <f t="shared" si="0"/>
        <v>6985709.2012264654</v>
      </c>
      <c r="P29" s="84" t="s">
        <v>50</v>
      </c>
      <c r="Q29" s="97" t="s">
        <v>434</v>
      </c>
      <c r="R29" s="8"/>
    </row>
    <row r="30" spans="1:18" s="5" customFormat="1" ht="60" customHeight="1" outlineLevel="1" x14ac:dyDescent="0.25">
      <c r="A30" s="129">
        <v>14</v>
      </c>
      <c r="B30" s="136" t="s">
        <v>60</v>
      </c>
      <c r="C30" s="248"/>
      <c r="D30" s="255"/>
      <c r="E30" s="268"/>
      <c r="F30" s="135" t="s">
        <v>433</v>
      </c>
      <c r="G30" s="134" t="s">
        <v>299</v>
      </c>
      <c r="H30" s="135" t="s">
        <v>64</v>
      </c>
      <c r="I30" s="131" t="s">
        <v>49</v>
      </c>
      <c r="J30" s="152">
        <v>297276.53999999998</v>
      </c>
      <c r="K30" s="152">
        <v>297276.53999999998</v>
      </c>
      <c r="L30" s="151" t="s">
        <v>65</v>
      </c>
      <c r="M30" s="152">
        <f>257638.543537781+4361667/440.15+3916234/395.2+3837157/387.22+3994520/403.1</f>
        <v>297276.54625526333</v>
      </c>
      <c r="N30" s="152">
        <f>229541.53251276+1912186/489.99+1556591/440.15+1259898/395.2+1094284/387.22+991707/403.1</f>
        <v>245454.73643449965</v>
      </c>
      <c r="O30" s="152">
        <f t="shared" si="0"/>
        <v>-6.255263346247375E-3</v>
      </c>
      <c r="P30" s="84" t="s">
        <v>50</v>
      </c>
      <c r="Q30" s="97" t="s">
        <v>434</v>
      </c>
      <c r="R30" s="8"/>
    </row>
    <row r="31" spans="1:18" s="5" customFormat="1" ht="51" customHeight="1" outlineLevel="1" x14ac:dyDescent="0.25">
      <c r="A31" s="129">
        <v>15</v>
      </c>
      <c r="B31" s="136" t="s">
        <v>60</v>
      </c>
      <c r="C31" s="252" t="s">
        <v>66</v>
      </c>
      <c r="D31" s="254" t="s">
        <v>67</v>
      </c>
      <c r="E31" s="267" t="s">
        <v>454</v>
      </c>
      <c r="F31" s="135" t="s">
        <v>433</v>
      </c>
      <c r="G31" s="134" t="s">
        <v>300</v>
      </c>
      <c r="H31" s="135" t="s">
        <v>68</v>
      </c>
      <c r="I31" s="135" t="s">
        <v>69</v>
      </c>
      <c r="J31" s="152">
        <v>1571940173.3299999</v>
      </c>
      <c r="K31" s="152">
        <v>1598519063</v>
      </c>
      <c r="L31" s="153">
        <v>1.7999999999999999E-2</v>
      </c>
      <c r="M31" s="152">
        <f>1030178646.5+123394332/3.026+109815247/2.693+110426917/2.708+107613234/2.639+106349114/2.608</f>
        <v>1234068819.1163616</v>
      </c>
      <c r="N31" s="152">
        <f>226837831.925937+13873556/3.026+11211247/2.693+10505503/2.708+9205948/2.639+8278004/2.608</f>
        <v>246127659.34121844</v>
      </c>
      <c r="O31" s="152">
        <f t="shared" si="0"/>
        <v>364450243.88363838</v>
      </c>
      <c r="P31" s="84" t="s">
        <v>50</v>
      </c>
      <c r="Q31" s="97" t="s">
        <v>434</v>
      </c>
      <c r="R31" s="8"/>
    </row>
    <row r="32" spans="1:18" s="5" customFormat="1" ht="41.25" customHeight="1" outlineLevel="1" x14ac:dyDescent="0.25">
      <c r="A32" s="129">
        <v>16</v>
      </c>
      <c r="B32" s="130" t="s">
        <v>70</v>
      </c>
      <c r="C32" s="253"/>
      <c r="D32" s="255"/>
      <c r="E32" s="268"/>
      <c r="F32" s="135" t="s">
        <v>433</v>
      </c>
      <c r="G32" s="134" t="s">
        <v>301</v>
      </c>
      <c r="H32" s="135" t="s">
        <v>68</v>
      </c>
      <c r="I32" s="135" t="s">
        <v>69</v>
      </c>
      <c r="J32" s="152">
        <v>3796371795.6700001</v>
      </c>
      <c r="K32" s="152">
        <v>3861444249</v>
      </c>
      <c r="L32" s="153">
        <v>1.7999999999999999E-2</v>
      </c>
      <c r="M32" s="152">
        <f>2513837447.56+291897058.6/3.026+259774877.3/2.693+261800600/2.714+254469412/2.638+251575521.7/2.608</f>
        <v>2996152481.4054999</v>
      </c>
      <c r="N32" s="152">
        <f>553224853.256799+32762341/3.026+26475306.9/2.693+24863667/2.714+21767387/2.638+19619296.3/2.608</f>
        <v>598818429.94730222</v>
      </c>
      <c r="O32" s="152">
        <f t="shared" si="0"/>
        <v>865291767.59450006</v>
      </c>
      <c r="P32" s="84" t="s">
        <v>50</v>
      </c>
      <c r="Q32" s="97" t="s">
        <v>434</v>
      </c>
      <c r="R32" s="8"/>
    </row>
    <row r="33" spans="1:19" s="5" customFormat="1" ht="69" customHeight="1" outlineLevel="1" x14ac:dyDescent="0.25">
      <c r="A33" s="250">
        <v>17</v>
      </c>
      <c r="B33" s="252" t="s">
        <v>71</v>
      </c>
      <c r="C33" s="247" t="s">
        <v>467</v>
      </c>
      <c r="D33" s="254" t="s">
        <v>62</v>
      </c>
      <c r="E33" s="267" t="s">
        <v>455</v>
      </c>
      <c r="F33" s="135" t="s">
        <v>433</v>
      </c>
      <c r="G33" s="262" t="s">
        <v>302</v>
      </c>
      <c r="H33" s="254" t="s">
        <v>72</v>
      </c>
      <c r="I33" s="131" t="s">
        <v>49</v>
      </c>
      <c r="J33" s="152">
        <v>4846628.13</v>
      </c>
      <c r="K33" s="152">
        <v>4737831.22</v>
      </c>
      <c r="L33" s="151">
        <v>7.4999999999999997E-3</v>
      </c>
      <c r="M33" s="152">
        <f>616176.07+18729201/386.44+19508050/402.51+18791723/387.73+18767489/387.23</f>
        <v>810040.07239122433</v>
      </c>
      <c r="N33" s="152">
        <f>353441.51+5923430/386.44+6198654/402.51+5835491.6/387.73+5820648/387.23</f>
        <v>414251.61169354402</v>
      </c>
      <c r="O33" s="152">
        <f t="shared" si="0"/>
        <v>3927791.1476087756</v>
      </c>
      <c r="P33" s="84" t="s">
        <v>73</v>
      </c>
      <c r="Q33" s="97" t="s">
        <v>434</v>
      </c>
      <c r="R33" s="8"/>
    </row>
    <row r="34" spans="1:19" s="5" customFormat="1" ht="69" customHeight="1" outlineLevel="1" x14ac:dyDescent="0.25">
      <c r="A34" s="251"/>
      <c r="B34" s="253"/>
      <c r="C34" s="248"/>
      <c r="D34" s="255"/>
      <c r="E34" s="268"/>
      <c r="F34" s="135" t="s">
        <v>435</v>
      </c>
      <c r="G34" s="263"/>
      <c r="H34" s="255"/>
      <c r="I34" s="135" t="s">
        <v>2</v>
      </c>
      <c r="J34" s="152">
        <v>1740568345.9000001</v>
      </c>
      <c r="K34" s="152">
        <v>1740568345.9000001</v>
      </c>
      <c r="L34" s="151">
        <v>7.4999999999999997E-3</v>
      </c>
      <c r="M34" s="152">
        <f>247100359+17402579+17402579+17402579+17402579</f>
        <v>316710675</v>
      </c>
      <c r="N34" s="152">
        <f>128165336.87+5554115.8+5580740.4+5454641.8+5448433.2</f>
        <v>150203268.06999999</v>
      </c>
      <c r="O34" s="152">
        <f t="shared" si="0"/>
        <v>1423857670.9000001</v>
      </c>
      <c r="P34" s="84" t="s">
        <v>73</v>
      </c>
      <c r="Q34" s="97" t="s">
        <v>434</v>
      </c>
      <c r="R34" s="8"/>
    </row>
    <row r="35" spans="1:19" ht="87" customHeight="1" outlineLevel="1" x14ac:dyDescent="0.25">
      <c r="A35" s="129">
        <v>18</v>
      </c>
      <c r="B35" s="136" t="s">
        <v>74</v>
      </c>
      <c r="C35" s="130" t="s">
        <v>75</v>
      </c>
      <c r="D35" s="135" t="s">
        <v>25</v>
      </c>
      <c r="E35" s="134" t="s">
        <v>456</v>
      </c>
      <c r="F35" s="135" t="s">
        <v>433</v>
      </c>
      <c r="G35" s="134" t="s">
        <v>303</v>
      </c>
      <c r="H35" s="134" t="s">
        <v>76</v>
      </c>
      <c r="I35" s="131" t="s">
        <v>27</v>
      </c>
      <c r="J35" s="31">
        <v>17895215.550000001</v>
      </c>
      <c r="K35" s="152">
        <v>17895215.550000001</v>
      </c>
      <c r="L35" s="151">
        <v>7.4999999999999997E-3</v>
      </c>
      <c r="M35" s="152">
        <v>9004359.9040168226</v>
      </c>
      <c r="N35" s="152">
        <f>2568161.28+12471869/415.04+3320320/414.34+16171473.8/438.74+15002335.6/420.29+14025433/406.4</f>
        <v>2713290.0956009617</v>
      </c>
      <c r="O35" s="152">
        <f t="shared" si="0"/>
        <v>8890855.6459831782</v>
      </c>
      <c r="P35" s="84" t="s">
        <v>50</v>
      </c>
      <c r="Q35" s="97" t="s">
        <v>434</v>
      </c>
      <c r="R35" s="8"/>
      <c r="S35" s="5"/>
    </row>
    <row r="36" spans="1:19" ht="55.5" customHeight="1" outlineLevel="1" x14ac:dyDescent="0.25">
      <c r="A36" s="250">
        <v>19</v>
      </c>
      <c r="B36" s="192" t="s">
        <v>77</v>
      </c>
      <c r="C36" s="247" t="s">
        <v>78</v>
      </c>
      <c r="D36" s="247" t="s">
        <v>268</v>
      </c>
      <c r="E36" s="247" t="s">
        <v>457</v>
      </c>
      <c r="F36" s="130" t="s">
        <v>433</v>
      </c>
      <c r="G36" s="247" t="s">
        <v>304</v>
      </c>
      <c r="H36" s="130" t="s">
        <v>79</v>
      </c>
      <c r="I36" s="131" t="s">
        <v>27</v>
      </c>
      <c r="J36" s="34">
        <v>22000000</v>
      </c>
      <c r="K36" s="152">
        <v>21247150.510000002</v>
      </c>
      <c r="L36" s="133" t="s">
        <v>80</v>
      </c>
      <c r="M36" s="152">
        <f>1047000+1047000+1047000+1047000+1047000+1047000+1047000+1047000+1048000</f>
        <v>9424000</v>
      </c>
      <c r="N36" s="152">
        <f>2375876.3+237670.2+221556.87</f>
        <v>2835103.37</v>
      </c>
      <c r="O36" s="152">
        <f>J36-M36</f>
        <v>12576000</v>
      </c>
      <c r="P36" s="247" t="s">
        <v>406</v>
      </c>
      <c r="Q36" s="97" t="s">
        <v>434</v>
      </c>
      <c r="R36" s="8"/>
      <c r="S36" s="5"/>
    </row>
    <row r="37" spans="1:19" ht="68.25" customHeight="1" outlineLevel="1" x14ac:dyDescent="0.25">
      <c r="A37" s="266"/>
      <c r="B37" s="192" t="s">
        <v>77</v>
      </c>
      <c r="C37" s="249"/>
      <c r="D37" s="249"/>
      <c r="E37" s="249"/>
      <c r="F37" s="130" t="s">
        <v>433</v>
      </c>
      <c r="G37" s="249"/>
      <c r="H37" s="130" t="s">
        <v>82</v>
      </c>
      <c r="I37" s="131" t="s">
        <v>27</v>
      </c>
      <c r="J37" s="34">
        <v>14500000</v>
      </c>
      <c r="K37" s="152">
        <v>14491281.059999999</v>
      </c>
      <c r="L37" s="133" t="s">
        <v>28</v>
      </c>
      <c r="M37" s="152">
        <f>241000+241000+241000+241000+241000+241000+241000+241000+241000</f>
        <v>2169000</v>
      </c>
      <c r="N37" s="152">
        <f>628643.7+48048.75+47190.19</f>
        <v>723882.6399999999</v>
      </c>
      <c r="O37" s="152">
        <f>J37-M37</f>
        <v>12331000</v>
      </c>
      <c r="P37" s="249"/>
      <c r="Q37" s="97" t="s">
        <v>434</v>
      </c>
      <c r="R37" s="8"/>
      <c r="S37" s="5"/>
    </row>
    <row r="38" spans="1:19" ht="62.25" customHeight="1" outlineLevel="1" x14ac:dyDescent="0.25">
      <c r="A38" s="251"/>
      <c r="B38" s="192" t="s">
        <v>77</v>
      </c>
      <c r="C38" s="248"/>
      <c r="D38" s="248"/>
      <c r="E38" s="248"/>
      <c r="F38" s="130" t="s">
        <v>433</v>
      </c>
      <c r="G38" s="248"/>
      <c r="H38" s="130" t="s">
        <v>83</v>
      </c>
      <c r="I38" s="131" t="s">
        <v>27</v>
      </c>
      <c r="J38" s="34">
        <v>14500000</v>
      </c>
      <c r="K38" s="152">
        <v>14500000.000000002</v>
      </c>
      <c r="L38" s="133" t="s">
        <v>84</v>
      </c>
      <c r="M38" s="152">
        <f>2519999.6+630000+630000+630000+630000+630000</f>
        <v>5669999.5999999996</v>
      </c>
      <c r="N38" s="152">
        <f>2336020+207340.05+195524.74</f>
        <v>2738884.79</v>
      </c>
      <c r="O38" s="152">
        <f>J38-M38</f>
        <v>8830000.4000000004</v>
      </c>
      <c r="P38" s="248"/>
      <c r="Q38" s="97" t="s">
        <v>434</v>
      </c>
      <c r="R38" s="8"/>
      <c r="S38" s="5"/>
    </row>
    <row r="39" spans="1:19" ht="94.5" customHeight="1" outlineLevel="1" x14ac:dyDescent="0.25">
      <c r="A39" s="129">
        <v>20</v>
      </c>
      <c r="B39" s="130" t="s">
        <v>85</v>
      </c>
      <c r="C39" s="136" t="s">
        <v>86</v>
      </c>
      <c r="D39" s="135" t="s">
        <v>67</v>
      </c>
      <c r="E39" s="135" t="s">
        <v>458</v>
      </c>
      <c r="F39" s="135" t="s">
        <v>433</v>
      </c>
      <c r="G39" s="134" t="s">
        <v>305</v>
      </c>
      <c r="H39" s="135" t="s">
        <v>87</v>
      </c>
      <c r="I39" s="135" t="s">
        <v>69</v>
      </c>
      <c r="J39" s="138">
        <v>26409000000</v>
      </c>
      <c r="K39" s="152">
        <v>26399286331</v>
      </c>
      <c r="L39" s="151">
        <v>7.4999999999999997E-3</v>
      </c>
      <c r="M39" s="152">
        <f>7357230331.16835+1131704010/2.615+1153775484/2.666+(500000000+500000000+175414184)/2.716</f>
        <v>8655552331.1683502</v>
      </c>
      <c r="N39" s="152">
        <f>2607354309.06995+188428717.2/2.615+185536580.8/2.666+186649331.7/2.716</f>
        <v>2817726935.8973589</v>
      </c>
      <c r="O39" s="132">
        <f t="shared" ref="O39:O50" si="1">K39-M39</f>
        <v>17743733999.83165</v>
      </c>
      <c r="P39" s="84" t="s">
        <v>88</v>
      </c>
      <c r="Q39" s="97" t="s">
        <v>434</v>
      </c>
      <c r="R39" s="8"/>
      <c r="S39" s="5"/>
    </row>
    <row r="40" spans="1:19" ht="86.25" customHeight="1" outlineLevel="1" x14ac:dyDescent="0.25">
      <c r="A40" s="129">
        <v>21</v>
      </c>
      <c r="B40" s="136" t="s">
        <v>23</v>
      </c>
      <c r="C40" s="130" t="s">
        <v>89</v>
      </c>
      <c r="D40" s="130" t="s">
        <v>90</v>
      </c>
      <c r="E40" s="130" t="s">
        <v>459</v>
      </c>
      <c r="F40" s="130" t="s">
        <v>433</v>
      </c>
      <c r="G40" s="134" t="s">
        <v>306</v>
      </c>
      <c r="H40" s="135" t="s">
        <v>91</v>
      </c>
      <c r="I40" s="131" t="s">
        <v>49</v>
      </c>
      <c r="J40" s="152">
        <v>8988290</v>
      </c>
      <c r="K40" s="152">
        <v>8988290</v>
      </c>
      <c r="L40" s="153">
        <v>5.0000000000000001E-3</v>
      </c>
      <c r="M40" s="152">
        <f>4199999.97+600000+600000+289644000/482.74+290820000/484.7+286458000/477.43+600000+600000+231939215.4/394.26</f>
        <v>8988289.9699999988</v>
      </c>
      <c r="N40" s="152">
        <f>838542.942447016+522591.6/394.26</f>
        <v>839868.44237092405</v>
      </c>
      <c r="O40" s="132">
        <f t="shared" si="1"/>
        <v>3.0000001192092896E-2</v>
      </c>
      <c r="P40" s="84" t="s">
        <v>73</v>
      </c>
      <c r="Q40" s="97" t="s">
        <v>434</v>
      </c>
      <c r="R40" s="8"/>
      <c r="S40" s="5"/>
    </row>
    <row r="41" spans="1:19" ht="86.25" customHeight="1" outlineLevel="1" x14ac:dyDescent="0.25">
      <c r="A41" s="129"/>
      <c r="B41" s="252" t="s">
        <v>23</v>
      </c>
      <c r="C41" s="130"/>
      <c r="D41" s="130"/>
      <c r="E41" s="260" t="s">
        <v>473</v>
      </c>
      <c r="F41" s="247" t="s">
        <v>408</v>
      </c>
      <c r="G41" s="134"/>
      <c r="H41" s="135" t="s">
        <v>493</v>
      </c>
      <c r="I41" s="50" t="s">
        <v>2</v>
      </c>
      <c r="J41" s="29">
        <v>1035000000</v>
      </c>
      <c r="K41" s="30">
        <f>1035000000-80500000</f>
        <v>954500000</v>
      </c>
      <c r="L41" s="154">
        <v>9.8613000000000006E-2</v>
      </c>
      <c r="M41" s="152"/>
      <c r="N41" s="152"/>
      <c r="O41" s="132">
        <f t="shared" si="1"/>
        <v>954500000</v>
      </c>
      <c r="P41" s="84" t="s">
        <v>73</v>
      </c>
      <c r="Q41" s="97" t="s">
        <v>434</v>
      </c>
      <c r="R41" s="8"/>
      <c r="S41" s="5"/>
    </row>
    <row r="42" spans="1:19" ht="86.25" customHeight="1" outlineLevel="1" x14ac:dyDescent="0.25">
      <c r="A42" s="129"/>
      <c r="B42" s="253"/>
      <c r="C42" s="130"/>
      <c r="D42" s="130"/>
      <c r="E42" s="261"/>
      <c r="F42" s="248"/>
      <c r="G42" s="134"/>
      <c r="H42" s="135"/>
      <c r="I42" s="50" t="s">
        <v>2</v>
      </c>
      <c r="J42" s="30">
        <v>1035000000</v>
      </c>
      <c r="K42" s="30"/>
      <c r="L42" s="153"/>
      <c r="M42" s="152"/>
      <c r="N42" s="152"/>
      <c r="O42" s="132">
        <f t="shared" si="1"/>
        <v>0</v>
      </c>
      <c r="P42" s="84" t="s">
        <v>73</v>
      </c>
      <c r="Q42" s="97" t="s">
        <v>434</v>
      </c>
      <c r="R42" s="8"/>
      <c r="S42" s="5"/>
    </row>
    <row r="43" spans="1:19" ht="73.5" customHeight="1" outlineLevel="1" x14ac:dyDescent="0.25">
      <c r="A43" s="129">
        <v>22</v>
      </c>
      <c r="B43" s="136" t="s">
        <v>92</v>
      </c>
      <c r="C43" s="130" t="s">
        <v>89</v>
      </c>
      <c r="D43" s="130" t="s">
        <v>93</v>
      </c>
      <c r="E43" s="130" t="s">
        <v>460</v>
      </c>
      <c r="F43" s="130" t="s">
        <v>433</v>
      </c>
      <c r="G43" s="35" t="s">
        <v>307</v>
      </c>
      <c r="H43" s="152" t="s">
        <v>94</v>
      </c>
      <c r="I43" s="32" t="s">
        <v>2</v>
      </c>
      <c r="J43" s="152">
        <v>1757100000</v>
      </c>
      <c r="K43" s="152">
        <v>1757100000</v>
      </c>
      <c r="L43" s="151">
        <v>7.4999999999999997E-3</v>
      </c>
      <c r="M43" s="152">
        <f>439275000+62753571.5+62753571.5+62753571.3+62753571.4+62753571.4+62753571.4+62753571.5+62753571.5+62753571.5+62753571.3</f>
        <v>1066810714.2999998</v>
      </c>
      <c r="N43" s="152">
        <f>303383430.5+3313904.4+3032802.7+3076644.3+2814884.5+2839384.2</f>
        <v>318461050.59999996</v>
      </c>
      <c r="O43" s="132">
        <f t="shared" si="1"/>
        <v>690289285.70000017</v>
      </c>
      <c r="P43" s="84" t="s">
        <v>73</v>
      </c>
      <c r="Q43" s="97" t="s">
        <v>434</v>
      </c>
      <c r="R43" s="8"/>
      <c r="S43" s="5"/>
    </row>
    <row r="44" spans="1:19" ht="82.5" customHeight="1" outlineLevel="1" x14ac:dyDescent="0.25">
      <c r="A44" s="183">
        <v>23</v>
      </c>
      <c r="B44" s="136" t="s">
        <v>92</v>
      </c>
      <c r="C44" s="130" t="s">
        <v>95</v>
      </c>
      <c r="D44" s="130" t="s">
        <v>418</v>
      </c>
      <c r="E44" s="35" t="s">
        <v>444</v>
      </c>
      <c r="F44" s="130" t="s">
        <v>408</v>
      </c>
      <c r="G44" s="35"/>
      <c r="H44" s="152" t="s">
        <v>96</v>
      </c>
      <c r="I44" s="32" t="s">
        <v>2</v>
      </c>
      <c r="J44" s="152">
        <v>18700000000</v>
      </c>
      <c r="K44" s="152">
        <v>18700000000</v>
      </c>
      <c r="L44" s="127">
        <v>7.4999999999999997E-2</v>
      </c>
      <c r="M44" s="152">
        <f>890476190.5+890476190.5+890476190.5+890476190.5+890476190.5+890476190.5</f>
        <v>5342857143</v>
      </c>
      <c r="N44" s="152">
        <f>1333335616.4+703171232.9+699328767.1+670052837.5+632909002+602718199.6+569233855.2+535749511</f>
        <v>5746499021.6999998</v>
      </c>
      <c r="O44" s="132">
        <f>K44-M44</f>
        <v>13357142857</v>
      </c>
      <c r="P44" s="84" t="s">
        <v>73</v>
      </c>
      <c r="Q44" s="97" t="s">
        <v>434</v>
      </c>
      <c r="R44" s="8"/>
      <c r="S44" s="5"/>
    </row>
    <row r="45" spans="1:19" ht="63.75" customHeight="1" outlineLevel="1" x14ac:dyDescent="0.25">
      <c r="A45" s="183">
        <v>24</v>
      </c>
      <c r="B45" s="136" t="s">
        <v>92</v>
      </c>
      <c r="C45" s="184" t="s">
        <v>269</v>
      </c>
      <c r="D45" s="130" t="s">
        <v>418</v>
      </c>
      <c r="E45" s="35" t="s">
        <v>445</v>
      </c>
      <c r="F45" s="130" t="s">
        <v>408</v>
      </c>
      <c r="G45" s="35"/>
      <c r="H45" s="152" t="s">
        <v>258</v>
      </c>
      <c r="I45" s="32" t="s">
        <v>2</v>
      </c>
      <c r="J45" s="152">
        <v>25000000000</v>
      </c>
      <c r="K45" s="152">
        <v>25000000000</v>
      </c>
      <c r="L45" s="127">
        <v>0.09</v>
      </c>
      <c r="M45" s="152">
        <f>1190476190.4+1190476190.5+1190476190.5+1190476190.5</f>
        <v>4761904761.8999996</v>
      </c>
      <c r="N45" s="152">
        <f>1171232876.7+1121917808.3+1128082191.8+1121917808.2+1074363992.2+1020645792.6+966927593</f>
        <v>7605088062.8000002</v>
      </c>
      <c r="O45" s="132">
        <f t="shared" si="1"/>
        <v>20238095238.099998</v>
      </c>
      <c r="P45" s="84" t="s">
        <v>73</v>
      </c>
      <c r="Q45" s="97" t="s">
        <v>434</v>
      </c>
      <c r="R45" s="8"/>
      <c r="S45" s="5"/>
    </row>
    <row r="46" spans="1:19" ht="82.5" customHeight="1" outlineLevel="1" x14ac:dyDescent="0.25">
      <c r="A46" s="183"/>
      <c r="B46" s="136" t="s">
        <v>92</v>
      </c>
      <c r="C46" s="130" t="s">
        <v>494</v>
      </c>
      <c r="D46" s="130" t="s">
        <v>418</v>
      </c>
      <c r="E46" s="35" t="s">
        <v>495</v>
      </c>
      <c r="F46" s="130" t="s">
        <v>408</v>
      </c>
      <c r="G46" s="35"/>
      <c r="H46" s="152" t="s">
        <v>474</v>
      </c>
      <c r="I46" s="32" t="s">
        <v>2</v>
      </c>
      <c r="J46" s="152">
        <v>5965000000</v>
      </c>
      <c r="K46" s="152">
        <v>5965000000</v>
      </c>
      <c r="L46" s="155">
        <v>9.8608000000000001E-2</v>
      </c>
      <c r="M46" s="152"/>
      <c r="N46" s="152">
        <v>24172468</v>
      </c>
      <c r="O46" s="132">
        <f>K46-M46</f>
        <v>5965000000</v>
      </c>
      <c r="P46" s="84" t="s">
        <v>73</v>
      </c>
      <c r="Q46" s="97" t="s">
        <v>434</v>
      </c>
      <c r="R46" s="8"/>
      <c r="S46" s="5"/>
    </row>
    <row r="47" spans="1:19" ht="78.75" customHeight="1" outlineLevel="1" x14ac:dyDescent="0.25">
      <c r="A47" s="250">
        <v>25</v>
      </c>
      <c r="B47" s="192" t="s">
        <v>92</v>
      </c>
      <c r="C47" s="247" t="s">
        <v>97</v>
      </c>
      <c r="D47" s="135" t="s">
        <v>420</v>
      </c>
      <c r="E47" s="247" t="s">
        <v>461</v>
      </c>
      <c r="F47" s="135" t="s">
        <v>433</v>
      </c>
      <c r="G47" s="262" t="s">
        <v>308</v>
      </c>
      <c r="H47" s="264" t="s">
        <v>99</v>
      </c>
      <c r="I47" s="131" t="s">
        <v>49</v>
      </c>
      <c r="J47" s="29">
        <v>270000000</v>
      </c>
      <c r="K47" s="152">
        <v>170663629.05000004</v>
      </c>
      <c r="L47" s="128">
        <v>0.03</v>
      </c>
      <c r="M47" s="152">
        <f>51199088.7002228+3370009369.8/394.93+3295429324.9/386.19+3461143748.2/405.61+3310959715/388.01+(1000000000+1424393078.3+962000000)/396.85</f>
        <v>93864996.000313431</v>
      </c>
      <c r="N47" s="152">
        <f>20309911.275649+723428666.7/394.93+646453366.1/386.19+636850451.3/405.61+552378447/388.01+519246953.2/396.85</f>
        <v>28117772.275609713</v>
      </c>
      <c r="O47" s="132">
        <f t="shared" si="1"/>
        <v>76798633.049686611</v>
      </c>
      <c r="P47" s="247" t="s">
        <v>81</v>
      </c>
      <c r="Q47" s="130" t="s">
        <v>434</v>
      </c>
      <c r="R47" s="8"/>
      <c r="S47" s="5"/>
    </row>
    <row r="48" spans="1:19" ht="71.25" customHeight="1" outlineLevel="1" x14ac:dyDescent="0.25">
      <c r="A48" s="251"/>
      <c r="B48" s="192" t="s">
        <v>92</v>
      </c>
      <c r="C48" s="248"/>
      <c r="D48" s="130" t="s">
        <v>418</v>
      </c>
      <c r="E48" s="248"/>
      <c r="F48" s="130" t="s">
        <v>435</v>
      </c>
      <c r="G48" s="263"/>
      <c r="H48" s="265"/>
      <c r="I48" s="32" t="s">
        <v>2</v>
      </c>
      <c r="J48" s="30">
        <v>1265847400</v>
      </c>
      <c r="K48" s="152">
        <f>9509488626+108542329</f>
        <v>9618030955</v>
      </c>
      <c r="L48" s="128">
        <v>0.03</v>
      </c>
      <c r="M48" s="152">
        <f>2858334735.47632+482835444.3+482835444.2+482835444.3+482835444.2+482835444.3</f>
        <v>5272511956.7763195</v>
      </c>
      <c r="N48" s="152">
        <f>1045375895.11175+103648675.3+94716219.7+88841721.7+80553046.6+74034768.1</f>
        <v>1487170326.51175</v>
      </c>
      <c r="O48" s="132">
        <f t="shared" si="1"/>
        <v>4345518998.2236805</v>
      </c>
      <c r="P48" s="248"/>
      <c r="Q48" s="130" t="s">
        <v>434</v>
      </c>
      <c r="R48" s="8"/>
      <c r="S48" s="5"/>
    </row>
    <row r="49" spans="1:19" ht="79.5" customHeight="1" outlineLevel="1" x14ac:dyDescent="0.25">
      <c r="A49" s="129">
        <v>26</v>
      </c>
      <c r="B49" s="136" t="s">
        <v>92</v>
      </c>
      <c r="C49" s="130" t="s">
        <v>100</v>
      </c>
      <c r="D49" s="254" t="s">
        <v>47</v>
      </c>
      <c r="E49" s="247" t="s">
        <v>462</v>
      </c>
      <c r="F49" s="189" t="s">
        <v>433</v>
      </c>
      <c r="G49" s="187" t="s">
        <v>309</v>
      </c>
      <c r="H49" s="196" t="s">
        <v>101</v>
      </c>
      <c r="I49" s="26" t="s">
        <v>49</v>
      </c>
      <c r="J49" s="29">
        <v>8907500</v>
      </c>
      <c r="K49" s="152">
        <v>8907384.7100000009</v>
      </c>
      <c r="L49" s="127" t="s">
        <v>352</v>
      </c>
      <c r="M49" s="152"/>
      <c r="N49" s="152">
        <f>1241236.45+96159781.6/386.38+118034920.8/403.19+119269571.9/387.69+118214384.3/387.64</f>
        <v>2395463.4501183401</v>
      </c>
      <c r="O49" s="142">
        <f t="shared" si="1"/>
        <v>8907384.7100000009</v>
      </c>
      <c r="P49" s="125" t="s">
        <v>102</v>
      </c>
      <c r="Q49" s="145" t="s">
        <v>434</v>
      </c>
      <c r="R49" s="8"/>
      <c r="S49" s="5"/>
    </row>
    <row r="50" spans="1:19" ht="116.25" customHeight="1" outlineLevel="1" thickBot="1" x14ac:dyDescent="0.3">
      <c r="A50" s="129">
        <v>27</v>
      </c>
      <c r="B50" s="185" t="s">
        <v>85</v>
      </c>
      <c r="C50" s="190" t="s">
        <v>100</v>
      </c>
      <c r="D50" s="257"/>
      <c r="E50" s="248"/>
      <c r="F50" s="189" t="s">
        <v>433</v>
      </c>
      <c r="G50" s="187" t="s">
        <v>310</v>
      </c>
      <c r="H50" s="39" t="s">
        <v>101</v>
      </c>
      <c r="I50" s="38" t="s">
        <v>49</v>
      </c>
      <c r="J50" s="40">
        <v>21092500</v>
      </c>
      <c r="K50" s="152">
        <v>21092210.790000003</v>
      </c>
      <c r="L50" s="99" t="s">
        <v>352</v>
      </c>
      <c r="M50" s="152"/>
      <c r="N50" s="152">
        <f>3081286.01+227668040/386.38+279535083/403.19+282423985/387.69+(79661738.3+200263572)/387.64</f>
        <v>5814433.9830596093</v>
      </c>
      <c r="O50" s="141">
        <f t="shared" si="1"/>
        <v>21092210.790000003</v>
      </c>
      <c r="P50" s="125" t="s">
        <v>103</v>
      </c>
      <c r="Q50" s="124" t="s">
        <v>434</v>
      </c>
      <c r="R50" s="8"/>
      <c r="S50" s="5"/>
    </row>
    <row r="51" spans="1:19" s="9" customFormat="1" ht="15" customHeight="1" x14ac:dyDescent="0.25">
      <c r="A51" s="244" t="s">
        <v>111</v>
      </c>
      <c r="B51" s="245"/>
      <c r="C51" s="246"/>
      <c r="D51" s="41"/>
      <c r="E51" s="41"/>
      <c r="F51" s="41"/>
      <c r="G51" s="41"/>
      <c r="H51" s="41"/>
      <c r="I51" s="41" t="s">
        <v>27</v>
      </c>
      <c r="J51" s="10">
        <f>SUMIF($I$5:$I$50,I51,$J$5:$J$50)</f>
        <v>275755742.28000003</v>
      </c>
      <c r="K51" s="10">
        <f>SUMIF($I$5:$I$50,I51,$K$5:$K$50)</f>
        <v>98188339.270000011</v>
      </c>
      <c r="L51" s="10"/>
      <c r="M51" s="10">
        <f>SUMIF($I$5:$I$50,I51,$M$5:$M$50)</f>
        <v>42494307.343892485</v>
      </c>
      <c r="N51" s="10">
        <f>SUMIF($I$5:$I$50,I51,$N$5:$N$50)</f>
        <v>18094860.897632036</v>
      </c>
      <c r="O51" s="10">
        <f>SUMIF($I$5:$I$50,I51,$O$5:$O$50)</f>
        <v>56455600.356107518</v>
      </c>
      <c r="P51" s="87"/>
      <c r="Q51" s="122"/>
      <c r="R51" s="8"/>
      <c r="S51" s="5"/>
    </row>
    <row r="52" spans="1:19" s="9" customFormat="1" ht="15" customHeight="1" x14ac:dyDescent="0.25">
      <c r="A52" s="238"/>
      <c r="B52" s="239"/>
      <c r="C52" s="240"/>
      <c r="D52" s="42"/>
      <c r="E52" s="42"/>
      <c r="F52" s="42"/>
      <c r="G52" s="42"/>
      <c r="H52" s="42"/>
      <c r="I52" s="42" t="s">
        <v>2</v>
      </c>
      <c r="J52" s="11">
        <f>SUMIF($I$5:$I$50,I52,$J$5:$J$50)</f>
        <v>56498515745.900002</v>
      </c>
      <c r="K52" s="11">
        <f>SUMIF($I$5:$I$50,I52,$K$5:$K$50)</f>
        <v>74946765960.600006</v>
      </c>
      <c r="L52" s="11"/>
      <c r="M52" s="11">
        <f>SUMIF($I$5:$I$50,I52,$M$5:$M$50)</f>
        <v>18347991275.676319</v>
      </c>
      <c r="N52" s="11">
        <f>SUMIF($I$5:$I$50,I52,$N$5:$N$50)</f>
        <v>18003894781.62175</v>
      </c>
      <c r="O52" s="11">
        <f>SUMIF($I$5:$I$50,I52,$O$5:$O$50)</f>
        <v>56598774684.923676</v>
      </c>
      <c r="P52" s="88"/>
      <c r="Q52" s="117"/>
      <c r="R52" s="8"/>
      <c r="S52" s="5"/>
    </row>
    <row r="53" spans="1:19" s="9" customFormat="1" ht="15" customHeight="1" x14ac:dyDescent="0.25">
      <c r="A53" s="238"/>
      <c r="B53" s="239"/>
      <c r="C53" s="240"/>
      <c r="D53" s="42"/>
      <c r="E53" s="42"/>
      <c r="F53" s="42"/>
      <c r="G53" s="42"/>
      <c r="H53" s="42"/>
      <c r="I53" s="42" t="s">
        <v>49</v>
      </c>
      <c r="J53" s="11">
        <f>SUMIF($I$5:$I$50,I53,$J$5:$J$50)</f>
        <v>483654882.94</v>
      </c>
      <c r="K53" s="11">
        <f>SUMIF($I$5:$I$50,I53,$K$5:$K$50)</f>
        <v>327114670.51000005</v>
      </c>
      <c r="L53" s="11"/>
      <c r="M53" s="11">
        <f>SUMIF($I$5:$I$50,I53,$M$5:$M$50)</f>
        <v>126040177.15797873</v>
      </c>
      <c r="N53" s="11">
        <f>SUMIF($I$5:$I$50,I53,$N$5:$N$50)</f>
        <v>64492079.365020916</v>
      </c>
      <c r="O53" s="11">
        <f>SUMIF($I$5:$I$50,I53,$O$5:$O$50)</f>
        <v>201074493.35202134</v>
      </c>
      <c r="P53" s="88"/>
      <c r="Q53" s="117"/>
      <c r="R53" s="8"/>
      <c r="S53" s="5"/>
    </row>
    <row r="54" spans="1:19" s="9" customFormat="1" ht="15" customHeight="1" x14ac:dyDescent="0.25">
      <c r="A54" s="238"/>
      <c r="B54" s="239"/>
      <c r="C54" s="240"/>
      <c r="D54" s="43"/>
      <c r="E54" s="43"/>
      <c r="F54" s="43"/>
      <c r="G54" s="43"/>
      <c r="H54" s="43"/>
      <c r="I54" s="43" t="s">
        <v>69</v>
      </c>
      <c r="J54" s="44">
        <f>SUMIF($I$5:$I$50,I54,$J$5:$J$50)</f>
        <v>31777311969</v>
      </c>
      <c r="K54" s="44">
        <f>SUMIF($I$5:$I$50,I54,$K$5:$K$50)</f>
        <v>31859249643</v>
      </c>
      <c r="L54" s="44"/>
      <c r="M54" s="44">
        <f>SUMIF($I$5:$I$50,I54,$M$5:$M$50)</f>
        <v>12885773631.690212</v>
      </c>
      <c r="N54" s="44">
        <f>SUMIF($I$5:$I$50,I54,$N$5:$N$50)</f>
        <v>3662673025.1858797</v>
      </c>
      <c r="O54" s="44">
        <f>SUMIF($I$5:$I$50,I54,$O$5:$O$50)</f>
        <v>18973476011.309788</v>
      </c>
      <c r="P54" s="89"/>
      <c r="Q54" s="118"/>
      <c r="R54" s="8"/>
      <c r="S54" s="5"/>
    </row>
    <row r="55" spans="1:19" s="9" customFormat="1" ht="15" customHeight="1" thickBot="1" x14ac:dyDescent="0.3">
      <c r="A55" s="241"/>
      <c r="B55" s="242"/>
      <c r="C55" s="243"/>
      <c r="D55" s="45"/>
      <c r="E55" s="45"/>
      <c r="F55" s="45"/>
      <c r="G55" s="103"/>
      <c r="H55" s="104"/>
      <c r="I55" s="105" t="s">
        <v>59</v>
      </c>
      <c r="J55" s="12">
        <f>SUMIF($I$5:$I$50,I55,$J$5:$J$50)</f>
        <v>24086688</v>
      </c>
      <c r="K55" s="12">
        <f>SUMIF($I$5:$I$50,I55,$K$5:$K$50)</f>
        <v>18384172.012149811</v>
      </c>
      <c r="L55" s="12"/>
      <c r="M55" s="12">
        <f>SUMIF($I$5:$I$50,I55,$M$5:$M$50)</f>
        <v>4824455.8054339811</v>
      </c>
      <c r="N55" s="12">
        <f>SUMIF($I$5:$I$50,I55,$N$5:$N$50)</f>
        <v>3135419.4621466845</v>
      </c>
      <c r="O55" s="12">
        <f>SUMIF($I$5:$I$50,I55,$O$5:$O$50)</f>
        <v>13559716.206715828</v>
      </c>
      <c r="P55" s="90"/>
      <c r="Q55" s="119"/>
      <c r="R55" s="8"/>
      <c r="S55" s="5"/>
    </row>
    <row r="56" spans="1:19" ht="96.75" customHeight="1" outlineLevel="1" x14ac:dyDescent="0.25">
      <c r="A56" s="181">
        <v>28</v>
      </c>
      <c r="B56" s="193" t="s">
        <v>112</v>
      </c>
      <c r="C56" s="185" t="s">
        <v>113</v>
      </c>
      <c r="D56" s="189" t="s">
        <v>114</v>
      </c>
      <c r="E56" s="187" t="s">
        <v>463</v>
      </c>
      <c r="F56" s="189" t="s">
        <v>433</v>
      </c>
      <c r="G56" s="187" t="s">
        <v>311</v>
      </c>
      <c r="H56" s="187" t="s">
        <v>115</v>
      </c>
      <c r="I56" s="26" t="s">
        <v>27</v>
      </c>
      <c r="J56" s="196">
        <v>5000000</v>
      </c>
      <c r="K56" s="196">
        <v>5000000</v>
      </c>
      <c r="L56" s="140" t="s">
        <v>116</v>
      </c>
      <c r="M56" s="196">
        <f>4166666.69+208333.33+88124985.9/423+87866652.7/421.76+87864653.7/421.75</f>
        <v>5000000.1203959631</v>
      </c>
      <c r="N56" s="196">
        <v>583240</v>
      </c>
      <c r="O56" s="196">
        <f t="shared" ref="O56:O61" si="2">K56-M56</f>
        <v>-0.12039596308022738</v>
      </c>
      <c r="P56" s="126" t="s">
        <v>73</v>
      </c>
      <c r="Q56" s="146" t="s">
        <v>502</v>
      </c>
      <c r="S56" s="5"/>
    </row>
    <row r="57" spans="1:19" ht="86.25" customHeight="1" outlineLevel="1" x14ac:dyDescent="0.25">
      <c r="A57" s="183">
        <v>29</v>
      </c>
      <c r="B57" s="192" t="s">
        <v>117</v>
      </c>
      <c r="C57" s="184" t="s">
        <v>118</v>
      </c>
      <c r="D57" s="188" t="s">
        <v>114</v>
      </c>
      <c r="E57" s="187" t="s">
        <v>464</v>
      </c>
      <c r="F57" s="188" t="s">
        <v>433</v>
      </c>
      <c r="G57" s="186" t="s">
        <v>312</v>
      </c>
      <c r="H57" s="186" t="s">
        <v>119</v>
      </c>
      <c r="I57" s="131" t="s">
        <v>27</v>
      </c>
      <c r="J57" s="152">
        <v>5000000</v>
      </c>
      <c r="K57" s="152">
        <v>5000000</v>
      </c>
      <c r="L57" s="127" t="s">
        <v>116</v>
      </c>
      <c r="M57" s="152">
        <f>3125000+208333.33+88124985.9/423+87866652.7/421.76+87864569.3/421.75</f>
        <v>3958333.2302774102</v>
      </c>
      <c r="N57" s="152">
        <v>427171.1</v>
      </c>
      <c r="O57" s="152">
        <f t="shared" si="2"/>
        <v>1041666.7697225898</v>
      </c>
      <c r="P57" s="247" t="s">
        <v>73</v>
      </c>
      <c r="Q57" s="130" t="s">
        <v>434</v>
      </c>
      <c r="S57" s="5"/>
    </row>
    <row r="58" spans="1:19" ht="84.75" customHeight="1" outlineLevel="1" x14ac:dyDescent="0.25">
      <c r="A58" s="183">
        <v>30</v>
      </c>
      <c r="B58" s="192" t="s">
        <v>117</v>
      </c>
      <c r="C58" s="184"/>
      <c r="D58" s="188" t="s">
        <v>418</v>
      </c>
      <c r="E58" s="135"/>
      <c r="F58" s="188" t="s">
        <v>435</v>
      </c>
      <c r="G58" s="186"/>
      <c r="H58" s="186"/>
      <c r="I58" s="37" t="s">
        <v>2</v>
      </c>
      <c r="J58" s="152"/>
      <c r="K58" s="152">
        <v>66094595</v>
      </c>
      <c r="L58" s="127" t="s">
        <v>116</v>
      </c>
      <c r="M58" s="152">
        <f>6609471.44+6609433.4+6609473.7+6609459.5+6609459.5</f>
        <v>33047297.539999999</v>
      </c>
      <c r="N58" s="152">
        <v>4464832.2977352943</v>
      </c>
      <c r="O58" s="152">
        <f t="shared" si="2"/>
        <v>33047297.460000001</v>
      </c>
      <c r="P58" s="248"/>
      <c r="Q58" s="130" t="s">
        <v>434</v>
      </c>
      <c r="S58" s="5"/>
    </row>
    <row r="59" spans="1:19" ht="89.25" customHeight="1" outlineLevel="1" x14ac:dyDescent="0.25">
      <c r="A59" s="129">
        <v>31</v>
      </c>
      <c r="B59" s="136" t="s">
        <v>120</v>
      </c>
      <c r="C59" s="130" t="s">
        <v>121</v>
      </c>
      <c r="D59" s="135" t="s">
        <v>122</v>
      </c>
      <c r="E59" s="134" t="s">
        <v>465</v>
      </c>
      <c r="F59" s="135" t="s">
        <v>433</v>
      </c>
      <c r="G59" s="134" t="s">
        <v>313</v>
      </c>
      <c r="H59" s="134" t="s">
        <v>123</v>
      </c>
      <c r="I59" s="131" t="s">
        <v>27</v>
      </c>
      <c r="J59" s="152">
        <v>5000000</v>
      </c>
      <c r="K59" s="152">
        <v>5000000</v>
      </c>
      <c r="L59" s="151" t="s">
        <v>116</v>
      </c>
      <c r="M59" s="152">
        <f>3227272.74+97124988.4/427.35+96136352.1/423+95854533.9/421.76+95852303.4/421.75</f>
        <v>4136363.6400054074</v>
      </c>
      <c r="N59" s="152">
        <f>475298.336411511+13707853.3/421.76+10793552.6/421.75</f>
        <v>533392.18557454634</v>
      </c>
      <c r="O59" s="152">
        <f t="shared" si="2"/>
        <v>863636.35999459261</v>
      </c>
      <c r="P59" s="84" t="s">
        <v>73</v>
      </c>
      <c r="Q59" s="97" t="s">
        <v>434</v>
      </c>
      <c r="S59" s="5"/>
    </row>
    <row r="60" spans="1:19" ht="57" customHeight="1" outlineLevel="1" x14ac:dyDescent="0.25">
      <c r="A60" s="250">
        <v>32</v>
      </c>
      <c r="B60" s="192" t="s">
        <v>124</v>
      </c>
      <c r="C60" s="247" t="s">
        <v>125</v>
      </c>
      <c r="D60" s="188" t="s">
        <v>122</v>
      </c>
      <c r="E60" s="134" t="s">
        <v>466</v>
      </c>
      <c r="F60" s="188" t="s">
        <v>433</v>
      </c>
      <c r="G60" s="186" t="s">
        <v>314</v>
      </c>
      <c r="H60" s="186" t="s">
        <v>126</v>
      </c>
      <c r="I60" s="37" t="s">
        <v>27</v>
      </c>
      <c r="J60" s="195">
        <v>5000000</v>
      </c>
      <c r="K60" s="152">
        <f>3000000+2000000</f>
        <v>5000000</v>
      </c>
      <c r="L60" s="36" t="s">
        <v>270</v>
      </c>
      <c r="M60" s="152">
        <f>676724.137931034+46797420.6/423+46660236.7/421.76+46659130.4/421.75</f>
        <v>1008620.738115976</v>
      </c>
      <c r="N60" s="152">
        <v>264937.42719531193</v>
      </c>
      <c r="O60" s="195">
        <f t="shared" si="2"/>
        <v>3991379.2618840239</v>
      </c>
      <c r="P60" s="247" t="s">
        <v>73</v>
      </c>
      <c r="Q60" s="97" t="s">
        <v>434</v>
      </c>
      <c r="S60" s="5"/>
    </row>
    <row r="61" spans="1:19" ht="57" customHeight="1" outlineLevel="1" thickBot="1" x14ac:dyDescent="0.3">
      <c r="A61" s="258"/>
      <c r="B61" s="192" t="s">
        <v>124</v>
      </c>
      <c r="C61" s="259"/>
      <c r="D61" s="188" t="s">
        <v>418</v>
      </c>
      <c r="E61" s="188"/>
      <c r="F61" s="188" t="s">
        <v>435</v>
      </c>
      <c r="G61" s="186" t="s">
        <v>314</v>
      </c>
      <c r="H61" s="186" t="s">
        <v>259</v>
      </c>
      <c r="I61" s="37" t="s">
        <v>2</v>
      </c>
      <c r="J61" s="195"/>
      <c r="K61" s="152">
        <v>168935081.21000001</v>
      </c>
      <c r="L61" s="36">
        <v>1.404E-2</v>
      </c>
      <c r="M61" s="152">
        <f>9751561.92837819+3148517+4073473.9+4413816.1</f>
        <v>21387368.928378187</v>
      </c>
      <c r="N61" s="152">
        <v>2860113.026823787</v>
      </c>
      <c r="O61" s="195">
        <f t="shared" si="2"/>
        <v>147547712.28162181</v>
      </c>
      <c r="P61" s="259"/>
      <c r="Q61" s="150" t="s">
        <v>434</v>
      </c>
      <c r="S61" s="5"/>
    </row>
    <row r="62" spans="1:19" s="9" customFormat="1" ht="15" customHeight="1" x14ac:dyDescent="0.25">
      <c r="A62" s="244" t="s">
        <v>127</v>
      </c>
      <c r="B62" s="245"/>
      <c r="C62" s="246"/>
      <c r="D62" s="106"/>
      <c r="E62" s="106"/>
      <c r="F62" s="41"/>
      <c r="G62" s="41"/>
      <c r="H62" s="41"/>
      <c r="I62" s="41" t="s">
        <v>27</v>
      </c>
      <c r="J62" s="10">
        <f>SUMIF($I$56:$I$61,I62,$J$56:$J$61)</f>
        <v>20000000</v>
      </c>
      <c r="K62" s="10">
        <f>SUMIF($I$56:$I$61,I62,$K$56:$K$61)</f>
        <v>20000000</v>
      </c>
      <c r="L62" s="13"/>
      <c r="M62" s="10">
        <f>SUMIF($I$56:$I$61,I62,$M$56:$M$61)</f>
        <v>14103317.728794757</v>
      </c>
      <c r="N62" s="10">
        <f>SUMIF($I$56:$I$61,I62,$N$56:$N$61)</f>
        <v>1808740.7127698583</v>
      </c>
      <c r="O62" s="10">
        <f>SUMIF($I$56:$I$61,I62,$O$56:$O$61)</f>
        <v>5896682.2712052427</v>
      </c>
      <c r="P62" s="87"/>
      <c r="Q62" s="122"/>
      <c r="R62" s="8"/>
      <c r="S62" s="5"/>
    </row>
    <row r="63" spans="1:19" s="9" customFormat="1" ht="15" customHeight="1" x14ac:dyDescent="0.25">
      <c r="A63" s="238"/>
      <c r="B63" s="239"/>
      <c r="C63" s="240"/>
      <c r="D63" s="33"/>
      <c r="E63" s="33"/>
      <c r="F63" s="42"/>
      <c r="G63" s="42"/>
      <c r="H63" s="42"/>
      <c r="I63" s="42" t="s">
        <v>2</v>
      </c>
      <c r="J63" s="11">
        <f>SUMIF($I$56:$I$61,I63,$J$56:$J$61)</f>
        <v>0</v>
      </c>
      <c r="K63" s="11">
        <f>SUMIF($I$56:$I$61,I63,$K$56:$K$61)</f>
        <v>235029676.21000001</v>
      </c>
      <c r="L63" s="11"/>
      <c r="M63" s="11">
        <f>SUMIF($I$56:$I$61,I63,$M$56:$M$61)</f>
        <v>54434666.468378186</v>
      </c>
      <c r="N63" s="11">
        <f>SUMIF($I$56:$I$61,I63,$N$56:$N$61)</f>
        <v>7324945.3245590813</v>
      </c>
      <c r="O63" s="11">
        <f>SUMIF($I$56:$I$61,I63,$O$56:$O$61)</f>
        <v>180595009.74162182</v>
      </c>
      <c r="P63" s="88"/>
      <c r="Q63" s="117"/>
      <c r="R63" s="8"/>
      <c r="S63" s="5"/>
    </row>
    <row r="64" spans="1:19" s="9" customFormat="1" ht="15" customHeight="1" x14ac:dyDescent="0.25">
      <c r="A64" s="238"/>
      <c r="B64" s="239"/>
      <c r="C64" s="240"/>
      <c r="D64" s="33"/>
      <c r="E64" s="33"/>
      <c r="F64" s="42"/>
      <c r="G64" s="42"/>
      <c r="H64" s="42"/>
      <c r="I64" s="42" t="s">
        <v>49</v>
      </c>
      <c r="J64" s="11">
        <f>SUMIF($I$56:$I$61,I64,$J$56:$J$61)</f>
        <v>0</v>
      </c>
      <c r="K64" s="11">
        <f>SUMIF($I$56:$I$61,I64,$K$56:$K$61)</f>
        <v>0</v>
      </c>
      <c r="L64" s="11"/>
      <c r="M64" s="11">
        <f>SUMIF($I$56:$I$61,I64,$M$56:$M$61)</f>
        <v>0</v>
      </c>
      <c r="N64" s="11">
        <f>SUMIF($I$56:$I$61,I64,$N$56:$N$61)</f>
        <v>0</v>
      </c>
      <c r="O64" s="11">
        <f>SUMIF($I$56:$I$61,I64,$O$56:$O$61)</f>
        <v>0</v>
      </c>
      <c r="P64" s="88"/>
      <c r="Q64" s="117"/>
      <c r="R64" s="8"/>
      <c r="S64" s="5"/>
    </row>
    <row r="65" spans="1:19" s="9" customFormat="1" ht="15" customHeight="1" thickBot="1" x14ac:dyDescent="0.3">
      <c r="A65" s="241"/>
      <c r="B65" s="242"/>
      <c r="C65" s="243"/>
      <c r="D65" s="107"/>
      <c r="E65" s="107"/>
      <c r="F65" s="45"/>
      <c r="G65" s="45"/>
      <c r="H65" s="45"/>
      <c r="I65" s="45" t="s">
        <v>69</v>
      </c>
      <c r="J65" s="12">
        <f>SUMIF($I$56:$I$61,I65,$J$56:$J$61)</f>
        <v>0</v>
      </c>
      <c r="K65" s="12">
        <f>SUMIF($I$56:$I$61,I65,$K$56:$K$61)</f>
        <v>0</v>
      </c>
      <c r="L65" s="12"/>
      <c r="M65" s="12">
        <f>SUMIF($I$56:$I$61,I65,$M$56:$M$61)</f>
        <v>0</v>
      </c>
      <c r="N65" s="12">
        <f>SUMIF($I$56:$I$61,I65,$N$56:$N$61)</f>
        <v>0</v>
      </c>
      <c r="O65" s="12">
        <f>SUMIF($I$56:$I$61,I65,$O$56:$O$61)</f>
        <v>0</v>
      </c>
      <c r="P65" s="90"/>
      <c r="Q65" s="119"/>
      <c r="R65" s="8"/>
      <c r="S65" s="5"/>
    </row>
    <row r="66" spans="1:19" s="2" customFormat="1" ht="91.5" customHeight="1" outlineLevel="1" x14ac:dyDescent="0.25">
      <c r="A66" s="129">
        <v>33</v>
      </c>
      <c r="B66" s="130" t="s">
        <v>128</v>
      </c>
      <c r="C66" s="130" t="s">
        <v>129</v>
      </c>
      <c r="D66" s="185" t="s">
        <v>421</v>
      </c>
      <c r="E66" s="185"/>
      <c r="F66" s="135" t="s">
        <v>408</v>
      </c>
      <c r="G66" s="46" t="s">
        <v>315</v>
      </c>
      <c r="H66" s="130" t="s">
        <v>130</v>
      </c>
      <c r="I66" s="130" t="s">
        <v>2</v>
      </c>
      <c r="J66" s="152">
        <v>74000000000</v>
      </c>
      <c r="K66" s="152">
        <v>74000000000</v>
      </c>
      <c r="L66" s="151" t="s">
        <v>131</v>
      </c>
      <c r="M66" s="152">
        <f>38761904762.2+1761904761.9+1761904761.9+1761904761.9+1761904761.9+1761904761.9+1761904761.9+1761904761.9+1761904761.9+1761904761.9+1761904761.9+1761904761.9+1761904761.9+1761904761.9+1761904761.9+1761904761.9+1761904762+1761904762</f>
        <v>68714285714.70002</v>
      </c>
      <c r="N66" s="152">
        <f>27971909177.5+338144.2+498915.4+526901.3+642474.8+795979.5+10421637.5+1734045.9+86178.9+156588.3+335841+256258.7+369392+1307877+6082866+2634+4444.2</f>
        <v>27995469356.200005</v>
      </c>
      <c r="O66" s="132">
        <f>K66-M66</f>
        <v>5285714285.2999802</v>
      </c>
      <c r="P66" s="84" t="s">
        <v>73</v>
      </c>
      <c r="Q66" s="97" t="s">
        <v>434</v>
      </c>
      <c r="R66" s="1"/>
      <c r="S66" s="5"/>
    </row>
    <row r="67" spans="1:19" s="2" customFormat="1" ht="91.5" customHeight="1" outlineLevel="1" x14ac:dyDescent="0.25">
      <c r="A67" s="129">
        <v>34</v>
      </c>
      <c r="B67" s="130" t="s">
        <v>128</v>
      </c>
      <c r="C67" s="130" t="s">
        <v>132</v>
      </c>
      <c r="D67" s="130" t="s">
        <v>25</v>
      </c>
      <c r="E67" s="130"/>
      <c r="F67" s="135" t="s">
        <v>408</v>
      </c>
      <c r="G67" s="46" t="s">
        <v>316</v>
      </c>
      <c r="H67" s="130" t="s">
        <v>133</v>
      </c>
      <c r="I67" s="130" t="s">
        <v>2</v>
      </c>
      <c r="J67" s="152">
        <v>2035890300</v>
      </c>
      <c r="K67" s="152">
        <v>2035890300</v>
      </c>
      <c r="L67" s="151" t="s">
        <v>42</v>
      </c>
      <c r="M67" s="152">
        <v>0</v>
      </c>
      <c r="N67" s="152">
        <v>0</v>
      </c>
      <c r="O67" s="132">
        <f t="shared" ref="O67:O72" si="3">K67-M67</f>
        <v>2035890300</v>
      </c>
      <c r="P67" s="84" t="s">
        <v>73</v>
      </c>
      <c r="Q67" s="97" t="s">
        <v>434</v>
      </c>
      <c r="R67" s="1"/>
      <c r="S67" s="5"/>
    </row>
    <row r="68" spans="1:19" ht="81" outlineLevel="1" x14ac:dyDescent="0.25">
      <c r="A68" s="181">
        <v>35</v>
      </c>
      <c r="B68" s="136" t="s">
        <v>134</v>
      </c>
      <c r="C68" s="130" t="s">
        <v>135</v>
      </c>
      <c r="D68" s="135" t="s">
        <v>25</v>
      </c>
      <c r="E68" s="135" t="s">
        <v>446</v>
      </c>
      <c r="F68" s="135"/>
      <c r="G68" s="46" t="s">
        <v>317</v>
      </c>
      <c r="H68" s="135" t="s">
        <v>136</v>
      </c>
      <c r="I68" s="131" t="s">
        <v>27</v>
      </c>
      <c r="J68" s="152">
        <v>3500000</v>
      </c>
      <c r="K68" s="152">
        <v>3500000</v>
      </c>
      <c r="L68" s="151">
        <v>7.4999999999999997E-3</v>
      </c>
      <c r="M68" s="152">
        <f>696000+31440060/542.07+58000+24255020/418.19+24400600/420.7+25920780/446.91+24152360/416.42+23862360/411.42</f>
        <v>1102000</v>
      </c>
      <c r="N68" s="152">
        <f>399592.922231146+10515+10297.5+4215355.2/418.19+4149153.8/420.7+4310447/446.91+3925799.6/416.42+3789178.2/411.42</f>
        <v>468630.42258194601</v>
      </c>
      <c r="O68" s="132">
        <f t="shared" si="3"/>
        <v>2398000</v>
      </c>
      <c r="P68" s="84" t="s">
        <v>73</v>
      </c>
      <c r="Q68" s="97" t="s">
        <v>434</v>
      </c>
      <c r="S68" s="5"/>
    </row>
    <row r="69" spans="1:19" ht="128.25" customHeight="1" outlineLevel="1" x14ac:dyDescent="0.25">
      <c r="A69" s="129">
        <v>36</v>
      </c>
      <c r="B69" s="136" t="s">
        <v>137</v>
      </c>
      <c r="C69" s="130" t="s">
        <v>138</v>
      </c>
      <c r="D69" s="130" t="s">
        <v>139</v>
      </c>
      <c r="E69" s="130"/>
      <c r="F69" s="135" t="s">
        <v>408</v>
      </c>
      <c r="G69" s="137" t="s">
        <v>318</v>
      </c>
      <c r="H69" s="135" t="s">
        <v>140</v>
      </c>
      <c r="I69" s="131" t="s">
        <v>49</v>
      </c>
      <c r="J69" s="132">
        <v>1689937.9</v>
      </c>
      <c r="K69" s="152">
        <v>1689937.9</v>
      </c>
      <c r="L69" s="133">
        <v>5.9900000000000002E-2</v>
      </c>
      <c r="M69" s="152">
        <f>872805.23+28165+28165+28165+28165</f>
        <v>985465.23</v>
      </c>
      <c r="N69" s="152">
        <f>1964862.47+25588.58+24871.58+24276.42+23029.84</f>
        <v>2062628.8900000001</v>
      </c>
      <c r="O69" s="132">
        <f t="shared" si="3"/>
        <v>704472.66999999993</v>
      </c>
      <c r="P69" s="85" t="s">
        <v>73</v>
      </c>
      <c r="Q69" s="120" t="s">
        <v>434</v>
      </c>
      <c r="S69" s="5"/>
    </row>
    <row r="70" spans="1:19" ht="98.25" customHeight="1" outlineLevel="1" x14ac:dyDescent="0.25">
      <c r="A70" s="181">
        <v>37</v>
      </c>
      <c r="B70" s="136" t="s">
        <v>141</v>
      </c>
      <c r="C70" s="130" t="s">
        <v>142</v>
      </c>
      <c r="D70" s="130" t="s">
        <v>139</v>
      </c>
      <c r="E70" s="130"/>
      <c r="F70" s="135" t="s">
        <v>408</v>
      </c>
      <c r="G70" s="137" t="s">
        <v>319</v>
      </c>
      <c r="H70" s="135" t="s">
        <v>143</v>
      </c>
      <c r="I70" s="131" t="s">
        <v>49</v>
      </c>
      <c r="J70" s="132">
        <v>2828000</v>
      </c>
      <c r="K70" s="152">
        <v>2828000</v>
      </c>
      <c r="L70" s="133">
        <v>5.9900000000000002E-2</v>
      </c>
      <c r="M70" s="132">
        <f>1128831.5+47000+47000+47000</f>
        <v>1269831.5</v>
      </c>
      <c r="N70" s="152">
        <f>1731608.85+50775.51+49371.71+48231.48</f>
        <v>1879987.55</v>
      </c>
      <c r="O70" s="132">
        <f t="shared" si="3"/>
        <v>1558168.5</v>
      </c>
      <c r="P70" s="85" t="s">
        <v>73</v>
      </c>
      <c r="Q70" s="120" t="s">
        <v>434</v>
      </c>
      <c r="S70" s="5"/>
    </row>
    <row r="71" spans="1:19" s="4" customFormat="1" ht="140.25" customHeight="1" outlineLevel="1" x14ac:dyDescent="0.25">
      <c r="A71" s="129">
        <v>38</v>
      </c>
      <c r="B71" s="136" t="s">
        <v>144</v>
      </c>
      <c r="C71" s="130" t="s">
        <v>145</v>
      </c>
      <c r="D71" s="130" t="s">
        <v>139</v>
      </c>
      <c r="E71" s="130"/>
      <c r="F71" s="135" t="s">
        <v>408</v>
      </c>
      <c r="G71" s="135" t="s">
        <v>320</v>
      </c>
      <c r="H71" s="135" t="s">
        <v>146</v>
      </c>
      <c r="I71" s="130" t="s">
        <v>2</v>
      </c>
      <c r="J71" s="47">
        <v>2092000000</v>
      </c>
      <c r="K71" s="152">
        <v>2092000000</v>
      </c>
      <c r="L71" s="48">
        <v>0.02</v>
      </c>
      <c r="M71" s="152">
        <f>354576270+35457627.1+35457627+35457627+35457627+35457627.12</f>
        <v>531864405.22000003</v>
      </c>
      <c r="N71" s="152">
        <f>426427783.87+17517039.3+16879773.4+16802058.1+16265822.2+16087076.86</f>
        <v>509979553.73000002</v>
      </c>
      <c r="O71" s="132">
        <f t="shared" si="3"/>
        <v>1560135594.78</v>
      </c>
      <c r="P71" s="85" t="s">
        <v>73</v>
      </c>
      <c r="Q71" s="120" t="s">
        <v>434</v>
      </c>
      <c r="R71" s="3"/>
      <c r="S71" s="5"/>
    </row>
    <row r="72" spans="1:19" s="4" customFormat="1" ht="123.75" customHeight="1" outlineLevel="1" thickBot="1" x14ac:dyDescent="0.3">
      <c r="A72" s="56">
        <v>39</v>
      </c>
      <c r="B72" s="98" t="s">
        <v>144</v>
      </c>
      <c r="C72" s="95" t="s">
        <v>147</v>
      </c>
      <c r="D72" s="95" t="s">
        <v>139</v>
      </c>
      <c r="E72" s="95"/>
      <c r="F72" s="57" t="s">
        <v>408</v>
      </c>
      <c r="G72" s="57" t="s">
        <v>321</v>
      </c>
      <c r="H72" s="57" t="s">
        <v>148</v>
      </c>
      <c r="I72" s="57" t="s">
        <v>2</v>
      </c>
      <c r="J72" s="108">
        <v>2187306400</v>
      </c>
      <c r="K72" s="108">
        <v>2187306400</v>
      </c>
      <c r="L72" s="109">
        <v>0.03</v>
      </c>
      <c r="M72" s="58">
        <v>75424358.620000005</v>
      </c>
      <c r="N72" s="58">
        <f>224789707.9+33079263.9+32539928.1+33079263.9+32719706.7+33079263.9</f>
        <v>389287134.39999998</v>
      </c>
      <c r="O72" s="61">
        <f t="shared" si="3"/>
        <v>2111882041.3800001</v>
      </c>
      <c r="P72" s="96" t="s">
        <v>73</v>
      </c>
      <c r="Q72" s="121" t="s">
        <v>434</v>
      </c>
      <c r="R72" s="3"/>
      <c r="S72" s="5"/>
    </row>
    <row r="73" spans="1:19" s="9" customFormat="1" ht="15" customHeight="1" x14ac:dyDescent="0.25">
      <c r="A73" s="238" t="s">
        <v>149</v>
      </c>
      <c r="B73" s="239"/>
      <c r="C73" s="240"/>
      <c r="D73" s="110"/>
      <c r="E73" s="110"/>
      <c r="F73" s="63"/>
      <c r="G73" s="63"/>
      <c r="H73" s="63"/>
      <c r="I73" s="63" t="s">
        <v>27</v>
      </c>
      <c r="J73" s="14">
        <f>SUMIF($I$66:$I$72,I73,$J$66:$J$72)</f>
        <v>3500000</v>
      </c>
      <c r="K73" s="14">
        <f>SUMIF($I$66:$I$72,I73,$K$66:$K$72)</f>
        <v>3500000</v>
      </c>
      <c r="L73" s="14"/>
      <c r="M73" s="14">
        <f>SUMIF($I$66:$I$72,I73,$M$66:$M$72)</f>
        <v>1102000</v>
      </c>
      <c r="N73" s="14">
        <f>SUMIF($I$66:$I$72,I73,$N$66:$N$72)</f>
        <v>468630.42258194601</v>
      </c>
      <c r="O73" s="14">
        <f>SUMIF($I$66:$I$72,I73,$O$66:$O$72)</f>
        <v>2398000</v>
      </c>
      <c r="P73" s="92"/>
      <c r="Q73" s="122"/>
      <c r="R73" s="8"/>
      <c r="S73" s="5"/>
    </row>
    <row r="74" spans="1:19" s="9" customFormat="1" ht="15" customHeight="1" x14ac:dyDescent="0.25">
      <c r="A74" s="238"/>
      <c r="B74" s="239"/>
      <c r="C74" s="240"/>
      <c r="D74" s="33"/>
      <c r="E74" s="33"/>
      <c r="F74" s="42"/>
      <c r="G74" s="42"/>
      <c r="H74" s="42"/>
      <c r="I74" s="42" t="s">
        <v>2</v>
      </c>
      <c r="J74" s="11">
        <f>SUMIF($I$66:$I$72,I74,$J$66:$J$72)</f>
        <v>80315196700</v>
      </c>
      <c r="K74" s="11">
        <f>SUMIF($I$66:$I$72,I74,$K$66:$K$72)</f>
        <v>80315196700</v>
      </c>
      <c r="L74" s="11"/>
      <c r="M74" s="11">
        <f>SUMIF($I$66:$I$72,I74,$M$66:$M$72)</f>
        <v>69321574478.540009</v>
      </c>
      <c r="N74" s="11">
        <f>SUMIF($I$66:$I$72,I74,$N$66:$N$72)</f>
        <v>28894736044.330006</v>
      </c>
      <c r="O74" s="11">
        <f>SUMIF($I$66:$I$72,I74,$O$66:$O$72)</f>
        <v>10993622221.45998</v>
      </c>
      <c r="P74" s="88"/>
      <c r="Q74" s="117"/>
      <c r="R74" s="8"/>
      <c r="S74" s="5"/>
    </row>
    <row r="75" spans="1:19" s="9" customFormat="1" ht="15" customHeight="1" x14ac:dyDescent="0.25">
      <c r="A75" s="238"/>
      <c r="B75" s="239"/>
      <c r="C75" s="240"/>
      <c r="D75" s="33"/>
      <c r="E75" s="33"/>
      <c r="F75" s="42"/>
      <c r="G75" s="42"/>
      <c r="H75" s="42"/>
      <c r="I75" s="42" t="s">
        <v>49</v>
      </c>
      <c r="J75" s="11">
        <f>SUMIF($I$66:$I$72,I75,$J$66:$J$72)</f>
        <v>4517937.9000000004</v>
      </c>
      <c r="K75" s="11">
        <f>SUMIF($I$66:$I$72,I75,$K$66:$K$72)</f>
        <v>4517937.9000000004</v>
      </c>
      <c r="L75" s="11"/>
      <c r="M75" s="11">
        <f>SUMIF($I$66:$I$72,I75,$M$66:$M$72)</f>
        <v>2255296.73</v>
      </c>
      <c r="N75" s="11">
        <f>SUMIF($I$66:$I$72,I75,$N$66:$N$72)</f>
        <v>3942616.4400000004</v>
      </c>
      <c r="O75" s="11">
        <f>SUMIF($I$66:$I$72,I75,$O$66:$O$72)</f>
        <v>2262641.17</v>
      </c>
      <c r="P75" s="88"/>
      <c r="Q75" s="117"/>
      <c r="R75" s="8"/>
      <c r="S75" s="5"/>
    </row>
    <row r="76" spans="1:19" s="9" customFormat="1" ht="15" customHeight="1" thickBot="1" x14ac:dyDescent="0.3">
      <c r="A76" s="241"/>
      <c r="B76" s="242"/>
      <c r="C76" s="243"/>
      <c r="D76" s="107"/>
      <c r="E76" s="107"/>
      <c r="F76" s="45"/>
      <c r="G76" s="45"/>
      <c r="H76" s="45"/>
      <c r="I76" s="45" t="s">
        <v>69</v>
      </c>
      <c r="J76" s="12">
        <f>SUMIF($I$66:$I$72,I76,$J$66:$J$72)</f>
        <v>0</v>
      </c>
      <c r="K76" s="12">
        <f>SUMIF($I$66:$I$72,I76,$K$66:$K$72)</f>
        <v>0</v>
      </c>
      <c r="L76" s="12"/>
      <c r="M76" s="12">
        <f>SUMIF($I$66:$I$72,I76,$M$66:$M$72)</f>
        <v>0</v>
      </c>
      <c r="N76" s="12">
        <f>SUMIF($I$66:$I$72,I76,$N$66:$N$72)</f>
        <v>0</v>
      </c>
      <c r="O76" s="12">
        <f>SUMIF($I$66:$I$72,I76,$O$66:$O$72)</f>
        <v>0</v>
      </c>
      <c r="P76" s="90"/>
      <c r="Q76" s="119"/>
      <c r="R76" s="8"/>
      <c r="S76" s="5"/>
    </row>
    <row r="77" spans="1:19" s="2" customFormat="1" ht="77.25" customHeight="1" outlineLevel="1" x14ac:dyDescent="0.25">
      <c r="A77" s="129">
        <v>40</v>
      </c>
      <c r="B77" s="136" t="s">
        <v>150</v>
      </c>
      <c r="C77" s="130" t="s">
        <v>151</v>
      </c>
      <c r="D77" s="185" t="s">
        <v>90</v>
      </c>
      <c r="E77" s="185"/>
      <c r="F77" s="189" t="s">
        <v>436</v>
      </c>
      <c r="G77" s="185" t="s">
        <v>322</v>
      </c>
      <c r="H77" s="130" t="s">
        <v>152</v>
      </c>
      <c r="I77" s="131" t="s">
        <v>49</v>
      </c>
      <c r="J77" s="152">
        <v>361332</v>
      </c>
      <c r="K77" s="152">
        <v>361332</v>
      </c>
      <c r="L77" s="151">
        <v>7.7700000000000005E-2</v>
      </c>
      <c r="M77" s="152">
        <f>219031+1000000/388.24</f>
        <v>221606.72635483206</v>
      </c>
      <c r="N77" s="152">
        <f>187530</f>
        <v>187530</v>
      </c>
      <c r="O77" s="132">
        <f>K77-M77</f>
        <v>139725.27364516794</v>
      </c>
      <c r="P77" s="84" t="s">
        <v>153</v>
      </c>
      <c r="Q77" s="146" t="s">
        <v>437</v>
      </c>
      <c r="R77" s="1"/>
      <c r="S77" s="5"/>
    </row>
    <row r="78" spans="1:19" ht="64.5" customHeight="1" outlineLevel="1" x14ac:dyDescent="0.25">
      <c r="A78" s="129">
        <v>41</v>
      </c>
      <c r="B78" s="136" t="s">
        <v>154</v>
      </c>
      <c r="C78" s="130" t="s">
        <v>155</v>
      </c>
      <c r="D78" s="188" t="s">
        <v>114</v>
      </c>
      <c r="E78" s="188"/>
      <c r="F78" s="188" t="s">
        <v>433</v>
      </c>
      <c r="G78" s="134" t="s">
        <v>323</v>
      </c>
      <c r="H78" s="152" t="s">
        <v>156</v>
      </c>
      <c r="I78" s="131" t="s">
        <v>27</v>
      </c>
      <c r="J78" s="152">
        <v>8000000</v>
      </c>
      <c r="K78" s="152">
        <v>80000</v>
      </c>
      <c r="L78" s="151" t="s">
        <v>42</v>
      </c>
      <c r="M78" s="152">
        <f>10909.09+3636.36+3636.36+1428217/392.76+1554016/427.35+3636.4+3632.85+3636.4</f>
        <v>36360.221703756208</v>
      </c>
      <c r="N78" s="152">
        <f>105386.95+361.72+42360.02+4761284/392.76+5116448/427.35+12019.8+11989.6+11973.65</f>
        <v>208186.86988818215</v>
      </c>
      <c r="O78" s="132">
        <f>K78-M78</f>
        <v>43639.778296243792</v>
      </c>
      <c r="P78" s="84" t="s">
        <v>157</v>
      </c>
      <c r="Q78" s="97" t="s">
        <v>434</v>
      </c>
      <c r="S78" s="5"/>
    </row>
    <row r="79" spans="1:19" ht="63" customHeight="1" outlineLevel="1" x14ac:dyDescent="0.25">
      <c r="A79" s="129">
        <v>42</v>
      </c>
      <c r="B79" s="136" t="s">
        <v>154</v>
      </c>
      <c r="C79" s="130" t="s">
        <v>158</v>
      </c>
      <c r="D79" s="188" t="s">
        <v>122</v>
      </c>
      <c r="E79" s="188"/>
      <c r="F79" s="188" t="s">
        <v>433</v>
      </c>
      <c r="G79" s="134" t="s">
        <v>324</v>
      </c>
      <c r="H79" s="152" t="s">
        <v>156</v>
      </c>
      <c r="I79" s="131" t="s">
        <v>27</v>
      </c>
      <c r="J79" s="152">
        <v>8000000</v>
      </c>
      <c r="K79" s="152"/>
      <c r="L79" s="151" t="s">
        <v>42</v>
      </c>
      <c r="M79" s="152"/>
      <c r="N79" s="152"/>
      <c r="O79" s="132">
        <f>K79-M79</f>
        <v>0</v>
      </c>
      <c r="P79" s="84" t="s">
        <v>157</v>
      </c>
      <c r="Q79" s="97" t="s">
        <v>434</v>
      </c>
      <c r="S79" s="5"/>
    </row>
    <row r="80" spans="1:19" ht="71.25" customHeight="1" outlineLevel="1" x14ac:dyDescent="0.25">
      <c r="A80" s="250">
        <v>43</v>
      </c>
      <c r="B80" s="252" t="s">
        <v>159</v>
      </c>
      <c r="C80" s="247" t="s">
        <v>257</v>
      </c>
      <c r="D80" s="188" t="s">
        <v>114</v>
      </c>
      <c r="E80" s="188"/>
      <c r="F80" s="188" t="s">
        <v>433</v>
      </c>
      <c r="G80" s="134" t="s">
        <v>325</v>
      </c>
      <c r="H80" s="247" t="s">
        <v>271</v>
      </c>
      <c r="I80" s="131" t="s">
        <v>27</v>
      </c>
      <c r="J80" s="152">
        <v>5500000</v>
      </c>
      <c r="K80" s="152">
        <f>1384955.78+492272.39+301757.1+219245.55+25340.75+40551.45+228066.75+500000</f>
        <v>3192189.77</v>
      </c>
      <c r="L80" s="151" t="s">
        <v>42</v>
      </c>
      <c r="M80" s="152"/>
      <c r="N80" s="152"/>
      <c r="O80" s="132">
        <f t="shared" ref="O80:O104" si="4">K80-M80</f>
        <v>3192189.77</v>
      </c>
      <c r="P80" s="84" t="s">
        <v>73</v>
      </c>
      <c r="Q80" s="97" t="s">
        <v>437</v>
      </c>
      <c r="S80" s="5"/>
    </row>
    <row r="81" spans="1:19" ht="74.25" customHeight="1" outlineLevel="1" x14ac:dyDescent="0.25">
      <c r="A81" s="251"/>
      <c r="B81" s="253"/>
      <c r="C81" s="248"/>
      <c r="D81" s="188" t="s">
        <v>418</v>
      </c>
      <c r="E81" s="188"/>
      <c r="F81" s="188" t="s">
        <v>435</v>
      </c>
      <c r="G81" s="134"/>
      <c r="H81" s="248"/>
      <c r="I81" s="135" t="s">
        <v>2</v>
      </c>
      <c r="J81" s="152">
        <v>92733053.200000003</v>
      </c>
      <c r="K81" s="152">
        <f>92733053.2+20276600+1679251+16492341.9+20399976.4+42969092+26833268.5</f>
        <v>221383583</v>
      </c>
      <c r="L81" s="151"/>
      <c r="M81" s="152"/>
      <c r="N81" s="152"/>
      <c r="O81" s="132">
        <f t="shared" si="4"/>
        <v>221383583</v>
      </c>
      <c r="P81" s="84"/>
      <c r="Q81" s="97" t="s">
        <v>437</v>
      </c>
      <c r="S81" s="5"/>
    </row>
    <row r="82" spans="1:19" ht="80.25" customHeight="1" outlineLevel="1" x14ac:dyDescent="0.25">
      <c r="A82" s="129">
        <v>44</v>
      </c>
      <c r="B82" s="136" t="s">
        <v>160</v>
      </c>
      <c r="C82" s="130" t="s">
        <v>161</v>
      </c>
      <c r="D82" s="130" t="s">
        <v>418</v>
      </c>
      <c r="E82" s="130"/>
      <c r="F82" s="135" t="s">
        <v>433</v>
      </c>
      <c r="G82" s="134" t="s">
        <v>326</v>
      </c>
      <c r="H82" s="152" t="s">
        <v>162</v>
      </c>
      <c r="I82" s="135" t="s">
        <v>2</v>
      </c>
      <c r="J82" s="152">
        <v>249300000</v>
      </c>
      <c r="K82" s="152">
        <v>249300000</v>
      </c>
      <c r="L82" s="153">
        <v>1E-3</v>
      </c>
      <c r="M82" s="152">
        <f>42881892.9</f>
        <v>42881892.899999999</v>
      </c>
      <c r="N82" s="152">
        <f>528153.5</f>
        <v>528153.5</v>
      </c>
      <c r="O82" s="132">
        <f t="shared" si="4"/>
        <v>206418107.09999999</v>
      </c>
      <c r="P82" s="84" t="s">
        <v>73</v>
      </c>
      <c r="Q82" s="97" t="s">
        <v>434</v>
      </c>
      <c r="S82" s="5"/>
    </row>
    <row r="83" spans="1:19" ht="148.5" outlineLevel="1" x14ac:dyDescent="0.25">
      <c r="A83" s="129">
        <v>45</v>
      </c>
      <c r="B83" s="192" t="s">
        <v>104</v>
      </c>
      <c r="C83" s="184" t="s">
        <v>105</v>
      </c>
      <c r="D83" s="188" t="s">
        <v>98</v>
      </c>
      <c r="E83" s="188"/>
      <c r="F83" s="188" t="s">
        <v>433</v>
      </c>
      <c r="G83" s="186" t="s">
        <v>327</v>
      </c>
      <c r="H83" s="195" t="s">
        <v>106</v>
      </c>
      <c r="I83" s="131" t="s">
        <v>49</v>
      </c>
      <c r="J83" s="152">
        <v>4000000</v>
      </c>
      <c r="K83" s="152">
        <v>1325350.5999999999</v>
      </c>
      <c r="L83" s="151" t="s">
        <v>42</v>
      </c>
      <c r="M83" s="152">
        <f>465353.9+34986668/397.71+41212635/391.46+40758842/387.15</f>
        <v>763882.69981118676</v>
      </c>
      <c r="N83" s="152">
        <f>188098.2+7483550/397.71+8032446/391.46+5274803/387.15</f>
        <v>241058.70097373266</v>
      </c>
      <c r="O83" s="141">
        <f>K83-M83</f>
        <v>561467.9001888131</v>
      </c>
      <c r="P83" s="184" t="s">
        <v>107</v>
      </c>
      <c r="Q83" s="145" t="s">
        <v>434</v>
      </c>
      <c r="S83" s="5"/>
    </row>
    <row r="84" spans="1:19" s="4" customFormat="1" ht="27" outlineLevel="1" x14ac:dyDescent="0.25">
      <c r="A84" s="129">
        <v>46</v>
      </c>
      <c r="B84" s="136" t="s">
        <v>163</v>
      </c>
      <c r="C84" s="130" t="s">
        <v>129</v>
      </c>
      <c r="D84" s="135" t="s">
        <v>421</v>
      </c>
      <c r="E84" s="135"/>
      <c r="F84" s="135" t="s">
        <v>408</v>
      </c>
      <c r="G84" s="135" t="s">
        <v>328</v>
      </c>
      <c r="H84" s="135" t="s">
        <v>280</v>
      </c>
      <c r="I84" s="135" t="s">
        <v>2</v>
      </c>
      <c r="J84" s="47">
        <v>50600000</v>
      </c>
      <c r="K84" s="152">
        <v>50600000</v>
      </c>
      <c r="L84" s="136" t="s">
        <v>164</v>
      </c>
      <c r="M84" s="152"/>
      <c r="N84" s="152"/>
      <c r="O84" s="47">
        <f t="shared" si="4"/>
        <v>50600000</v>
      </c>
      <c r="P84" s="84" t="s">
        <v>73</v>
      </c>
      <c r="Q84" s="97" t="s">
        <v>437</v>
      </c>
      <c r="R84" s="3"/>
      <c r="S84" s="5"/>
    </row>
    <row r="85" spans="1:19" s="4" customFormat="1" ht="40.5" customHeight="1" outlineLevel="1" x14ac:dyDescent="0.25">
      <c r="A85" s="129">
        <v>47</v>
      </c>
      <c r="B85" s="136" t="s">
        <v>163</v>
      </c>
      <c r="C85" s="130" t="s">
        <v>129</v>
      </c>
      <c r="D85" s="135" t="s">
        <v>421</v>
      </c>
      <c r="E85" s="135"/>
      <c r="F85" s="135" t="s">
        <v>408</v>
      </c>
      <c r="G85" s="135" t="s">
        <v>329</v>
      </c>
      <c r="H85" s="135" t="s">
        <v>281</v>
      </c>
      <c r="I85" s="130" t="s">
        <v>2</v>
      </c>
      <c r="J85" s="47">
        <v>1100000000</v>
      </c>
      <c r="K85" s="152">
        <v>1100000000</v>
      </c>
      <c r="L85" s="136" t="s">
        <v>164</v>
      </c>
      <c r="M85" s="152"/>
      <c r="N85" s="152"/>
      <c r="O85" s="47">
        <f t="shared" si="4"/>
        <v>1100000000</v>
      </c>
      <c r="P85" s="252" t="s">
        <v>260</v>
      </c>
      <c r="Q85" s="97" t="s">
        <v>437</v>
      </c>
      <c r="R85" s="3"/>
      <c r="S85" s="5"/>
    </row>
    <row r="86" spans="1:19" s="4" customFormat="1" ht="27" outlineLevel="1" x14ac:dyDescent="0.25">
      <c r="A86" s="129">
        <v>48</v>
      </c>
      <c r="B86" s="136" t="s">
        <v>163</v>
      </c>
      <c r="C86" s="130" t="s">
        <v>129</v>
      </c>
      <c r="D86" s="135" t="s">
        <v>421</v>
      </c>
      <c r="E86" s="135"/>
      <c r="F86" s="135" t="s">
        <v>408</v>
      </c>
      <c r="G86" s="135" t="s">
        <v>330</v>
      </c>
      <c r="H86" s="135" t="s">
        <v>282</v>
      </c>
      <c r="I86" s="130" t="s">
        <v>2</v>
      </c>
      <c r="J86" s="47">
        <v>792386600</v>
      </c>
      <c r="K86" s="152">
        <v>791031693</v>
      </c>
      <c r="L86" s="136" t="s">
        <v>164</v>
      </c>
      <c r="M86" s="152"/>
      <c r="N86" s="152"/>
      <c r="O86" s="47">
        <f t="shared" si="4"/>
        <v>791031693</v>
      </c>
      <c r="P86" s="256"/>
      <c r="Q86" s="97" t="s">
        <v>437</v>
      </c>
      <c r="R86" s="3"/>
      <c r="S86" s="5"/>
    </row>
    <row r="87" spans="1:19" s="4" customFormat="1" ht="27" outlineLevel="1" x14ac:dyDescent="0.25">
      <c r="A87" s="129">
        <v>49</v>
      </c>
      <c r="B87" s="136" t="s">
        <v>163</v>
      </c>
      <c r="C87" s="130" t="s">
        <v>129</v>
      </c>
      <c r="D87" s="135" t="s">
        <v>421</v>
      </c>
      <c r="E87" s="135"/>
      <c r="F87" s="135" t="s">
        <v>408</v>
      </c>
      <c r="G87" s="135" t="s">
        <v>331</v>
      </c>
      <c r="H87" s="135" t="s">
        <v>283</v>
      </c>
      <c r="I87" s="130" t="s">
        <v>2</v>
      </c>
      <c r="J87" s="47">
        <v>254672300</v>
      </c>
      <c r="K87" s="152">
        <f>168444408+75498000+5196300+5196300</f>
        <v>254335008</v>
      </c>
      <c r="L87" s="136" t="s">
        <v>164</v>
      </c>
      <c r="M87" s="152"/>
      <c r="N87" s="152"/>
      <c r="O87" s="47">
        <f t="shared" si="4"/>
        <v>254335008</v>
      </c>
      <c r="P87" s="253"/>
      <c r="Q87" s="97" t="s">
        <v>437</v>
      </c>
      <c r="R87" s="3"/>
      <c r="S87" s="5"/>
    </row>
    <row r="88" spans="1:19" s="4" customFormat="1" ht="40.5" outlineLevel="1" x14ac:dyDescent="0.25">
      <c r="A88" s="129">
        <v>50</v>
      </c>
      <c r="B88" s="136" t="s">
        <v>165</v>
      </c>
      <c r="C88" s="130" t="s">
        <v>129</v>
      </c>
      <c r="D88" s="135" t="s">
        <v>418</v>
      </c>
      <c r="E88" s="135"/>
      <c r="F88" s="135"/>
      <c r="G88" s="135" t="s">
        <v>332</v>
      </c>
      <c r="H88" s="135" t="s">
        <v>166</v>
      </c>
      <c r="I88" s="130" t="s">
        <v>2</v>
      </c>
      <c r="J88" s="47">
        <v>88731015</v>
      </c>
      <c r="K88" s="152">
        <v>88731000</v>
      </c>
      <c r="L88" s="49">
        <v>8.5000000000000006E-2</v>
      </c>
      <c r="M88" s="152">
        <f>88731000</f>
        <v>88731000</v>
      </c>
      <c r="N88" s="152">
        <f>1591081+30000000</f>
        <v>31591081</v>
      </c>
      <c r="O88" s="47">
        <f t="shared" si="4"/>
        <v>0</v>
      </c>
      <c r="P88" s="85" t="s">
        <v>167</v>
      </c>
      <c r="Q88" s="120" t="s">
        <v>437</v>
      </c>
      <c r="R88" s="3"/>
      <c r="S88" s="5"/>
    </row>
    <row r="89" spans="1:19" ht="81" outlineLevel="1" x14ac:dyDescent="0.25">
      <c r="A89" s="129">
        <v>51</v>
      </c>
      <c r="B89" s="192" t="s">
        <v>169</v>
      </c>
      <c r="C89" s="184" t="s">
        <v>168</v>
      </c>
      <c r="D89" s="184" t="s">
        <v>139</v>
      </c>
      <c r="E89" s="184"/>
      <c r="F89" s="188" t="s">
        <v>408</v>
      </c>
      <c r="G89" s="130" t="s">
        <v>333</v>
      </c>
      <c r="H89" s="130" t="s">
        <v>170</v>
      </c>
      <c r="I89" s="130" t="s">
        <v>49</v>
      </c>
      <c r="J89" s="50">
        <v>8944984.0899999999</v>
      </c>
      <c r="K89" s="152">
        <v>8944984.0899999999</v>
      </c>
      <c r="L89" s="51">
        <v>7.4999999999999997E-3</v>
      </c>
      <c r="M89" s="152">
        <f>2425758.4+151609.9+151609.9+151609.9+151609.9</f>
        <v>3032197.9999999995</v>
      </c>
      <c r="N89" s="152">
        <f>881276.03+25084.35+24380.12+23943.98+23373.89+22803.79</f>
        <v>1000862.16</v>
      </c>
      <c r="O89" s="132">
        <f t="shared" si="4"/>
        <v>5912786.0899999999</v>
      </c>
      <c r="P89" s="125" t="s">
        <v>73</v>
      </c>
      <c r="Q89" s="145" t="s">
        <v>434</v>
      </c>
      <c r="S89" s="5"/>
    </row>
    <row r="90" spans="1:19" ht="55.5" customHeight="1" outlineLevel="1" x14ac:dyDescent="0.25">
      <c r="A90" s="250">
        <v>52</v>
      </c>
      <c r="B90" s="252" t="s">
        <v>171</v>
      </c>
      <c r="C90" s="247" t="s">
        <v>168</v>
      </c>
      <c r="D90" s="247" t="s">
        <v>139</v>
      </c>
      <c r="E90" s="184"/>
      <c r="F90" s="188" t="s">
        <v>408</v>
      </c>
      <c r="G90" s="247" t="s">
        <v>334</v>
      </c>
      <c r="H90" s="130" t="s">
        <v>172</v>
      </c>
      <c r="I90" s="130" t="s">
        <v>49</v>
      </c>
      <c r="J90" s="50">
        <v>5217725</v>
      </c>
      <c r="K90" s="152">
        <v>5217725</v>
      </c>
      <c r="L90" s="51">
        <v>7.4999999999999997E-3</v>
      </c>
      <c r="M90" s="152">
        <f>782658.5+52177.25+52177.25+52177.25+52177.25</f>
        <v>991367.5</v>
      </c>
      <c r="N90" s="152">
        <f>538816.19+16480.36+16284.66+16088.46</f>
        <v>587669.66999999993</v>
      </c>
      <c r="O90" s="132">
        <f t="shared" si="4"/>
        <v>4226357.5</v>
      </c>
      <c r="P90" s="247" t="s">
        <v>73</v>
      </c>
      <c r="Q90" s="97" t="s">
        <v>434</v>
      </c>
      <c r="S90" s="5"/>
    </row>
    <row r="91" spans="1:19" ht="55.5" customHeight="1" outlineLevel="1" x14ac:dyDescent="0.25">
      <c r="A91" s="251"/>
      <c r="B91" s="253"/>
      <c r="C91" s="248"/>
      <c r="D91" s="248"/>
      <c r="E91" s="190"/>
      <c r="F91" s="188" t="s">
        <v>408</v>
      </c>
      <c r="G91" s="248"/>
      <c r="H91" s="130" t="s">
        <v>172</v>
      </c>
      <c r="I91" s="130" t="s">
        <v>2</v>
      </c>
      <c r="J91" s="50">
        <v>93025000</v>
      </c>
      <c r="K91" s="152">
        <v>93025000</v>
      </c>
      <c r="L91" s="51">
        <v>7.4999999999999997E-3</v>
      </c>
      <c r="M91" s="152">
        <f>13953750+930250+930250+930250+930250</f>
        <v>17674750</v>
      </c>
      <c r="N91" s="152">
        <f>9237334.28+296030+287830+287830</f>
        <v>10109024.279999999</v>
      </c>
      <c r="O91" s="132">
        <f t="shared" si="4"/>
        <v>75350250</v>
      </c>
      <c r="P91" s="248"/>
      <c r="Q91" s="147" t="s">
        <v>434</v>
      </c>
      <c r="S91" s="5"/>
    </row>
    <row r="92" spans="1:19" ht="81" outlineLevel="1" x14ac:dyDescent="0.25">
      <c r="A92" s="129">
        <v>53</v>
      </c>
      <c r="B92" s="192" t="s">
        <v>173</v>
      </c>
      <c r="C92" s="184" t="s">
        <v>168</v>
      </c>
      <c r="D92" s="184" t="s">
        <v>139</v>
      </c>
      <c r="E92" s="184"/>
      <c r="F92" s="188" t="s">
        <v>408</v>
      </c>
      <c r="G92" s="130" t="s">
        <v>335</v>
      </c>
      <c r="H92" s="130" t="s">
        <v>174</v>
      </c>
      <c r="I92" s="130" t="s">
        <v>49</v>
      </c>
      <c r="J92" s="50">
        <v>1989000</v>
      </c>
      <c r="K92" s="152">
        <v>1989000</v>
      </c>
      <c r="L92" s="51">
        <v>7.4999999999999997E-3</v>
      </c>
      <c r="M92" s="152">
        <f>337118.7+33711.86+33711.86+33711.86+33712</f>
        <v>471966.27999999997</v>
      </c>
      <c r="N92" s="152">
        <f>177150.18+6084.76+5957.99+5831.23</f>
        <v>195024.16</v>
      </c>
      <c r="O92" s="132">
        <f t="shared" si="4"/>
        <v>1517033.72</v>
      </c>
      <c r="P92" s="125" t="s">
        <v>73</v>
      </c>
      <c r="Q92" s="145" t="s">
        <v>434</v>
      </c>
      <c r="S92" s="5"/>
    </row>
    <row r="93" spans="1:19" ht="94.5" outlineLevel="1" x14ac:dyDescent="0.25">
      <c r="A93" s="129">
        <v>54</v>
      </c>
      <c r="B93" s="192" t="s">
        <v>284</v>
      </c>
      <c r="C93" s="184" t="s">
        <v>285</v>
      </c>
      <c r="D93" s="184" t="s">
        <v>139</v>
      </c>
      <c r="E93" s="184"/>
      <c r="F93" s="188" t="s">
        <v>408</v>
      </c>
      <c r="G93" s="184" t="s">
        <v>336</v>
      </c>
      <c r="H93" s="184" t="s">
        <v>286</v>
      </c>
      <c r="I93" s="130" t="s">
        <v>2</v>
      </c>
      <c r="J93" s="50">
        <v>2047212646</v>
      </c>
      <c r="K93" s="195">
        <v>2047212646</v>
      </c>
      <c r="L93" s="51">
        <v>0.02</v>
      </c>
      <c r="M93" s="152">
        <v>0</v>
      </c>
      <c r="N93" s="152">
        <f>88017538.4+20640391+20640391+20303862+20640391</f>
        <v>170242573.40000001</v>
      </c>
      <c r="O93" s="132">
        <f t="shared" si="4"/>
        <v>2047212646</v>
      </c>
      <c r="P93" s="125" t="s">
        <v>73</v>
      </c>
      <c r="Q93" s="145" t="s">
        <v>434</v>
      </c>
      <c r="S93" s="5"/>
    </row>
    <row r="94" spans="1:19" ht="144" customHeight="1" outlineLevel="1" x14ac:dyDescent="0.25">
      <c r="A94" s="183">
        <v>55</v>
      </c>
      <c r="B94" s="192" t="s">
        <v>175</v>
      </c>
      <c r="C94" s="184" t="s">
        <v>176</v>
      </c>
      <c r="D94" s="184" t="s">
        <v>90</v>
      </c>
      <c r="E94" s="184"/>
      <c r="F94" s="184" t="s">
        <v>408</v>
      </c>
      <c r="G94" s="184" t="s">
        <v>430</v>
      </c>
      <c r="H94" s="184" t="s">
        <v>177</v>
      </c>
      <c r="I94" s="130" t="s">
        <v>49</v>
      </c>
      <c r="J94" s="50">
        <v>2217000</v>
      </c>
      <c r="K94" s="50">
        <v>2217000</v>
      </c>
      <c r="L94" s="52">
        <v>0.02</v>
      </c>
      <c r="M94" s="152">
        <f>1656550.78+18166.04+7000680/387.28+18122.86+18122.86+32122.86+28837.1+8000+8000+8000+20000+20000+20000+20000+20000+19994.32+20000+20000+8000+8000</f>
        <v>1989993.3537740142</v>
      </c>
      <c r="N94" s="152">
        <f>133182.536922389+1443.51+1358.52+1365.7+1287.6+1303.23+1287.23</f>
        <v>141228.32692238904</v>
      </c>
      <c r="O94" s="132">
        <f t="shared" si="4"/>
        <v>227006.64622598584</v>
      </c>
      <c r="P94" s="125" t="s">
        <v>178</v>
      </c>
      <c r="Q94" s="145" t="s">
        <v>434</v>
      </c>
      <c r="S94" s="5"/>
    </row>
    <row r="95" spans="1:19" ht="128.25" customHeight="1" outlineLevel="1" x14ac:dyDescent="0.25">
      <c r="A95" s="129">
        <v>56</v>
      </c>
      <c r="B95" s="136" t="s">
        <v>274</v>
      </c>
      <c r="C95" s="130" t="s">
        <v>275</v>
      </c>
      <c r="D95" s="130" t="s">
        <v>114</v>
      </c>
      <c r="E95" s="130"/>
      <c r="F95" s="135" t="s">
        <v>433</v>
      </c>
      <c r="G95" s="130" t="s">
        <v>337</v>
      </c>
      <c r="H95" s="184" t="s">
        <v>276</v>
      </c>
      <c r="I95" s="130" t="s">
        <v>27</v>
      </c>
      <c r="J95" s="50">
        <f>4199559.68+12720691.2+1113060.48+1966688.64</f>
        <v>20000000</v>
      </c>
      <c r="K95" s="50">
        <f>J95</f>
        <v>20000000</v>
      </c>
      <c r="L95" s="52" t="s">
        <v>277</v>
      </c>
      <c r="M95" s="152"/>
      <c r="N95" s="53">
        <f>77849.88+103888.1+413918.01+520635+494848.41</f>
        <v>1611139.4</v>
      </c>
      <c r="O95" s="132">
        <f t="shared" si="4"/>
        <v>20000000</v>
      </c>
      <c r="P95" s="125" t="s">
        <v>278</v>
      </c>
      <c r="Q95" s="97" t="s">
        <v>434</v>
      </c>
      <c r="S95" s="5"/>
    </row>
    <row r="96" spans="1:19" s="2" customFormat="1" ht="59.25" customHeight="1" outlineLevel="1" x14ac:dyDescent="0.25">
      <c r="A96" s="183"/>
      <c r="B96" s="192" t="s">
        <v>496</v>
      </c>
      <c r="C96" s="184"/>
      <c r="D96" s="130" t="s">
        <v>418</v>
      </c>
      <c r="E96" s="130" t="s">
        <v>501</v>
      </c>
      <c r="F96" s="135" t="s">
        <v>408</v>
      </c>
      <c r="G96" s="130" t="s">
        <v>501</v>
      </c>
      <c r="H96" s="130" t="s">
        <v>503</v>
      </c>
      <c r="I96" s="130" t="s">
        <v>2</v>
      </c>
      <c r="J96" s="152">
        <v>250000000</v>
      </c>
      <c r="K96" s="152">
        <v>250000000</v>
      </c>
      <c r="L96" s="128"/>
      <c r="M96" s="195"/>
      <c r="N96" s="195"/>
      <c r="O96" s="141"/>
      <c r="P96" s="125"/>
      <c r="Q96" s="97" t="s">
        <v>437</v>
      </c>
      <c r="R96" s="1"/>
      <c r="S96" s="5"/>
    </row>
    <row r="97" spans="1:19" s="4" customFormat="1" ht="38.25" customHeight="1" outlineLevel="1" x14ac:dyDescent="0.25">
      <c r="A97" s="250">
        <v>57</v>
      </c>
      <c r="B97" s="252" t="s">
        <v>179</v>
      </c>
      <c r="C97" s="247" t="s">
        <v>180</v>
      </c>
      <c r="D97" s="247"/>
      <c r="E97" s="190"/>
      <c r="F97" s="191"/>
      <c r="G97" s="254" t="s">
        <v>338</v>
      </c>
      <c r="H97" s="254" t="s">
        <v>181</v>
      </c>
      <c r="I97" s="131" t="s">
        <v>49</v>
      </c>
      <c r="J97" s="47">
        <v>237758.39</v>
      </c>
      <c r="K97" s="152">
        <v>237758.39</v>
      </c>
      <c r="L97" s="153"/>
      <c r="M97" s="152"/>
      <c r="N97" s="152"/>
      <c r="O97" s="47">
        <f t="shared" si="4"/>
        <v>237758.39</v>
      </c>
      <c r="P97" s="247" t="s">
        <v>73</v>
      </c>
      <c r="Q97" s="97" t="s">
        <v>434</v>
      </c>
      <c r="R97" s="3"/>
      <c r="S97" s="5"/>
    </row>
    <row r="98" spans="1:19" s="4" customFormat="1" ht="45" customHeight="1" outlineLevel="1" x14ac:dyDescent="0.25">
      <c r="A98" s="251"/>
      <c r="B98" s="253"/>
      <c r="C98" s="248"/>
      <c r="D98" s="248"/>
      <c r="E98" s="185"/>
      <c r="F98" s="185"/>
      <c r="G98" s="255"/>
      <c r="H98" s="255"/>
      <c r="I98" s="37" t="s">
        <v>2</v>
      </c>
      <c r="J98" s="54">
        <v>28883700</v>
      </c>
      <c r="K98" s="152">
        <v>28883700</v>
      </c>
      <c r="L98" s="128"/>
      <c r="M98" s="152"/>
      <c r="N98" s="152"/>
      <c r="O98" s="47">
        <f t="shared" si="4"/>
        <v>28883700</v>
      </c>
      <c r="P98" s="248"/>
      <c r="Q98" s="146" t="s">
        <v>434</v>
      </c>
      <c r="R98" s="3"/>
      <c r="S98" s="5"/>
    </row>
    <row r="99" spans="1:19" s="2" customFormat="1" ht="59.25" customHeight="1" outlineLevel="1" x14ac:dyDescent="0.25">
      <c r="A99" s="183">
        <v>58</v>
      </c>
      <c r="B99" s="192" t="s">
        <v>108</v>
      </c>
      <c r="C99" s="184" t="s">
        <v>109</v>
      </c>
      <c r="D99" s="130" t="s">
        <v>418</v>
      </c>
      <c r="E99" s="130"/>
      <c r="F99" s="135"/>
      <c r="G99" s="130" t="s">
        <v>339</v>
      </c>
      <c r="H99" s="130" t="s">
        <v>110</v>
      </c>
      <c r="I99" s="130" t="s">
        <v>2</v>
      </c>
      <c r="J99" s="152">
        <v>303444194</v>
      </c>
      <c r="K99" s="195">
        <v>303444194</v>
      </c>
      <c r="L99" s="128"/>
      <c r="M99" s="195"/>
      <c r="N99" s="195"/>
      <c r="O99" s="141">
        <f t="shared" si="4"/>
        <v>303444194</v>
      </c>
      <c r="P99" s="125" t="s">
        <v>73</v>
      </c>
      <c r="Q99" s="97" t="s">
        <v>504</v>
      </c>
      <c r="R99" s="1"/>
      <c r="S99" s="5"/>
    </row>
    <row r="100" spans="1:19" s="5" customFormat="1" ht="54.75" customHeight="1" outlineLevel="1" x14ac:dyDescent="0.25">
      <c r="A100" s="183"/>
      <c r="B100" s="192" t="s">
        <v>468</v>
      </c>
      <c r="C100" s="184" t="s">
        <v>109</v>
      </c>
      <c r="D100" s="130" t="s">
        <v>418</v>
      </c>
      <c r="E100" s="130"/>
      <c r="F100" s="135"/>
      <c r="G100" s="130" t="s">
        <v>469</v>
      </c>
      <c r="H100" s="130" t="s">
        <v>470</v>
      </c>
      <c r="I100" s="131" t="s">
        <v>2</v>
      </c>
      <c r="J100" s="152">
        <v>29938264</v>
      </c>
      <c r="K100" s="152">
        <v>29938264</v>
      </c>
      <c r="L100" s="127"/>
      <c r="M100" s="152">
        <f>9000000+1000000+1000000+800000+200000+1000000</f>
        <v>13000000</v>
      </c>
      <c r="N100" s="152"/>
      <c r="O100" s="141">
        <f t="shared" si="4"/>
        <v>16938264</v>
      </c>
      <c r="P100" s="125" t="s">
        <v>73</v>
      </c>
      <c r="Q100" s="146" t="s">
        <v>434</v>
      </c>
      <c r="R100" s="8"/>
    </row>
    <row r="101" spans="1:19" s="5" customFormat="1" ht="88.5" customHeight="1" outlineLevel="1" x14ac:dyDescent="0.25">
      <c r="A101" s="183"/>
      <c r="B101" s="192" t="s">
        <v>475</v>
      </c>
      <c r="C101" s="184" t="s">
        <v>476</v>
      </c>
      <c r="D101" s="130" t="s">
        <v>418</v>
      </c>
      <c r="E101" s="130"/>
      <c r="F101" s="135" t="s">
        <v>408</v>
      </c>
      <c r="G101" s="130" t="s">
        <v>505</v>
      </c>
      <c r="H101" s="130" t="s">
        <v>506</v>
      </c>
      <c r="I101" s="131" t="s">
        <v>2</v>
      </c>
      <c r="J101" s="152">
        <v>1343651100</v>
      </c>
      <c r="K101" s="152">
        <v>1343651100</v>
      </c>
      <c r="L101" s="127">
        <v>7.2499999999999995E-2</v>
      </c>
      <c r="M101" s="152"/>
      <c r="N101" s="152"/>
      <c r="O101" s="141">
        <f t="shared" si="4"/>
        <v>1343651100</v>
      </c>
      <c r="P101" s="125" t="s">
        <v>73</v>
      </c>
      <c r="Q101" s="146" t="s">
        <v>437</v>
      </c>
      <c r="R101" s="8"/>
    </row>
    <row r="102" spans="1:19" ht="82.5" customHeight="1" x14ac:dyDescent="0.25">
      <c r="A102" s="129">
        <v>59</v>
      </c>
      <c r="B102" s="136" t="s">
        <v>407</v>
      </c>
      <c r="C102" s="130" t="s">
        <v>408</v>
      </c>
      <c r="D102" s="130" t="s">
        <v>418</v>
      </c>
      <c r="E102" s="130"/>
      <c r="F102" s="130" t="s">
        <v>408</v>
      </c>
      <c r="G102" s="130" t="s">
        <v>409</v>
      </c>
      <c r="H102" s="130" t="s">
        <v>410</v>
      </c>
      <c r="I102" s="130" t="s">
        <v>2</v>
      </c>
      <c r="J102" s="152">
        <v>1600000000</v>
      </c>
      <c r="K102" s="32">
        <v>1600000000</v>
      </c>
      <c r="L102" s="49">
        <v>0.06</v>
      </c>
      <c r="M102" s="32">
        <f>16666667+16666667</f>
        <v>33333334</v>
      </c>
      <c r="N102" s="32">
        <f>14728767+7827397</f>
        <v>22556164</v>
      </c>
      <c r="O102" s="47">
        <f t="shared" si="4"/>
        <v>1566666666</v>
      </c>
      <c r="P102" s="130" t="s">
        <v>411</v>
      </c>
      <c r="Q102" s="97" t="s">
        <v>437</v>
      </c>
      <c r="S102" s="5"/>
    </row>
    <row r="103" spans="1:19" ht="125.25" customHeight="1" x14ac:dyDescent="0.25">
      <c r="A103" s="181">
        <v>60</v>
      </c>
      <c r="B103" s="193" t="s">
        <v>422</v>
      </c>
      <c r="C103" s="130" t="s">
        <v>408</v>
      </c>
      <c r="D103" s="130" t="s">
        <v>418</v>
      </c>
      <c r="E103" s="130"/>
      <c r="F103" s="189" t="s">
        <v>408</v>
      </c>
      <c r="G103" s="185" t="s">
        <v>510</v>
      </c>
      <c r="H103" s="130" t="s">
        <v>423</v>
      </c>
      <c r="I103" s="130" t="s">
        <v>2</v>
      </c>
      <c r="J103" s="196">
        <v>3500000000</v>
      </c>
      <c r="K103" s="196">
        <v>3500000000</v>
      </c>
      <c r="L103" s="49">
        <v>0.08</v>
      </c>
      <c r="M103" s="94"/>
      <c r="N103" s="94"/>
      <c r="O103" s="47">
        <f t="shared" si="4"/>
        <v>3500000000</v>
      </c>
      <c r="P103" s="126" t="s">
        <v>424</v>
      </c>
      <c r="Q103" s="146" t="s">
        <v>434</v>
      </c>
      <c r="S103" s="5"/>
    </row>
    <row r="104" spans="1:19" s="2" customFormat="1" ht="47.25" customHeight="1" outlineLevel="1" x14ac:dyDescent="0.25">
      <c r="A104" s="181">
        <v>61</v>
      </c>
      <c r="B104" s="185" t="s">
        <v>425</v>
      </c>
      <c r="C104" s="185" t="s">
        <v>408</v>
      </c>
      <c r="D104" s="185" t="s">
        <v>418</v>
      </c>
      <c r="E104" s="185"/>
      <c r="F104" s="189" t="s">
        <v>408</v>
      </c>
      <c r="G104" s="82" t="s">
        <v>413</v>
      </c>
      <c r="H104" s="185" t="s">
        <v>256</v>
      </c>
      <c r="I104" s="185" t="s">
        <v>2</v>
      </c>
      <c r="J104" s="196">
        <v>2000000000</v>
      </c>
      <c r="K104" s="196">
        <v>2000000000</v>
      </c>
      <c r="L104" s="140">
        <v>1E-4</v>
      </c>
      <c r="M104" s="196">
        <f>122220000+82500000+82500000</f>
        <v>287220000</v>
      </c>
      <c r="N104" s="196">
        <f>175890.410958904+56590.6+7869.7</f>
        <v>240350.710958904</v>
      </c>
      <c r="O104" s="143">
        <f t="shared" si="4"/>
        <v>1712780000</v>
      </c>
      <c r="P104" s="126" t="s">
        <v>414</v>
      </c>
      <c r="Q104" s="146" t="s">
        <v>434</v>
      </c>
      <c r="R104" s="1"/>
      <c r="S104" s="5"/>
    </row>
    <row r="105" spans="1:19" s="2" customFormat="1" ht="47.25" customHeight="1" outlineLevel="1" x14ac:dyDescent="0.25">
      <c r="A105" s="181">
        <v>62</v>
      </c>
      <c r="B105" s="185" t="s">
        <v>182</v>
      </c>
      <c r="C105" s="185" t="s">
        <v>183</v>
      </c>
      <c r="D105" s="185" t="s">
        <v>426</v>
      </c>
      <c r="E105" s="185"/>
      <c r="F105" s="189" t="s">
        <v>408</v>
      </c>
      <c r="G105" s="82" t="s">
        <v>340</v>
      </c>
      <c r="H105" s="185" t="s">
        <v>184</v>
      </c>
      <c r="I105" s="185" t="s">
        <v>49</v>
      </c>
      <c r="J105" s="196">
        <v>10000000</v>
      </c>
      <c r="K105" s="196">
        <v>10000000</v>
      </c>
      <c r="L105" s="140" t="s">
        <v>185</v>
      </c>
      <c r="M105" s="196">
        <f>2553676.86+827369</f>
        <v>3381045.86</v>
      </c>
      <c r="N105" s="196">
        <f>3533579.15874841+18816925/512.41+16022937.4/426.85+37537.63+37130+36723+37538+'[2]15,08,20 գործող'!$I$55+'[2]15,08,20 գործող'!$I$56+121181+150151+150151+148518.45</f>
        <v>4401844.9204706866</v>
      </c>
      <c r="O105" s="143">
        <f>K105-M105</f>
        <v>6618954.1400000006</v>
      </c>
      <c r="P105" s="126" t="s">
        <v>186</v>
      </c>
      <c r="Q105" s="146" t="s">
        <v>434</v>
      </c>
      <c r="R105" s="1"/>
      <c r="S105" s="5"/>
    </row>
    <row r="106" spans="1:19" s="2" customFormat="1" ht="51" customHeight="1" outlineLevel="1" thickBot="1" x14ac:dyDescent="0.3">
      <c r="A106" s="129">
        <v>63</v>
      </c>
      <c r="B106" s="130" t="s">
        <v>182</v>
      </c>
      <c r="C106" s="95" t="s">
        <v>438</v>
      </c>
      <c r="D106" s="95" t="s">
        <v>426</v>
      </c>
      <c r="E106" s="95"/>
      <c r="F106" s="57" t="s">
        <v>408</v>
      </c>
      <c r="G106" s="111" t="s">
        <v>341</v>
      </c>
      <c r="H106" s="95" t="s">
        <v>187</v>
      </c>
      <c r="I106" s="95" t="s">
        <v>2</v>
      </c>
      <c r="J106" s="152">
        <v>8000000000</v>
      </c>
      <c r="K106" s="152">
        <v>8000000000</v>
      </c>
      <c r="L106" s="151" t="s">
        <v>188</v>
      </c>
      <c r="M106" s="152"/>
      <c r="N106" s="152">
        <f>3496438357+79342466+80657534+79342466+79342466+1315069+216021918+419419179</f>
        <v>4451879455</v>
      </c>
      <c r="O106" s="132">
        <f>K106-M106</f>
        <v>8000000000</v>
      </c>
      <c r="P106" s="84" t="s">
        <v>189</v>
      </c>
      <c r="Q106" s="97" t="s">
        <v>434</v>
      </c>
      <c r="R106" s="1"/>
      <c r="S106" s="5"/>
    </row>
    <row r="107" spans="1:19" s="9" customFormat="1" ht="24.75" customHeight="1" x14ac:dyDescent="0.25">
      <c r="A107" s="244" t="s">
        <v>190</v>
      </c>
      <c r="B107" s="245"/>
      <c r="C107" s="246"/>
      <c r="F107" s="63"/>
      <c r="G107" s="63"/>
      <c r="H107" s="63"/>
      <c r="I107" s="63" t="s">
        <v>27</v>
      </c>
      <c r="J107" s="13">
        <f>SUMIF($I$77:$I$106,I107,$J$77:$J$106)</f>
        <v>41500000</v>
      </c>
      <c r="K107" s="13">
        <f>SUMIF($I$77:$I$106,I107,$K$77:$K$106)</f>
        <v>23272189.77</v>
      </c>
      <c r="L107" s="13"/>
      <c r="M107" s="13">
        <f>SUMIF($I$77:$I$106,I107,$M$77:$M$106)</f>
        <v>36360.221703756208</v>
      </c>
      <c r="N107" s="13">
        <f>SUMIF($I$77:$I$106,I107,$N$77:$N$106)</f>
        <v>1819326.2698881822</v>
      </c>
      <c r="O107" s="13">
        <f>SUMIF($I$77:$I$106,I107,$O$77:$O$106)</f>
        <v>23235829.548296243</v>
      </c>
      <c r="P107" s="87"/>
      <c r="Q107" s="122"/>
      <c r="R107" s="8"/>
      <c r="S107" s="5"/>
    </row>
    <row r="108" spans="1:19" s="9" customFormat="1" ht="39" customHeight="1" x14ac:dyDescent="0.25">
      <c r="A108" s="238"/>
      <c r="B108" s="239"/>
      <c r="C108" s="240"/>
      <c r="D108" s="33"/>
      <c r="E108" s="33"/>
      <c r="F108" s="42"/>
      <c r="G108" s="42"/>
      <c r="H108" s="42"/>
      <c r="I108" s="42" t="s">
        <v>2</v>
      </c>
      <c r="J108" s="11">
        <f>SUMIF($I$77:$I$106,I108,$J$77:$J$106)</f>
        <v>21824577872.200001</v>
      </c>
      <c r="K108" s="11">
        <f>SUMIF($I$77:$I$106,I108,$K$77:$K$106)</f>
        <v>21951536188</v>
      </c>
      <c r="L108" s="11"/>
      <c r="M108" s="11">
        <f>SUMIF($I$77:$I$106,I108,$M$77:$M$106)</f>
        <v>482840976.89999998</v>
      </c>
      <c r="N108" s="11">
        <f>SUMIF($I$77:$I$106,I108,$N$77:$N$106)</f>
        <v>4687146801.8909588</v>
      </c>
      <c r="O108" s="11">
        <f>SUMIF($I$77:$I$106,I108,$O$77:$O$106)</f>
        <v>21218695211.099998</v>
      </c>
      <c r="P108" s="88"/>
      <c r="Q108" s="117"/>
      <c r="R108" s="8"/>
      <c r="S108" s="5"/>
    </row>
    <row r="109" spans="1:19" s="9" customFormat="1" ht="39" customHeight="1" x14ac:dyDescent="0.25">
      <c r="A109" s="238"/>
      <c r="B109" s="239"/>
      <c r="C109" s="240"/>
      <c r="D109" s="33"/>
      <c r="E109" s="33"/>
      <c r="F109" s="42"/>
      <c r="G109" s="42"/>
      <c r="H109" s="42"/>
      <c r="I109" s="42" t="s">
        <v>49</v>
      </c>
      <c r="J109" s="11">
        <f>SUMIF($I$77:$I$106,I109,$J$77:$J$106)</f>
        <v>32967799.48</v>
      </c>
      <c r="K109" s="11">
        <f>SUMIF($I$77:$I$106,I109,$K$77:$K$106)</f>
        <v>30293150.079999998</v>
      </c>
      <c r="L109" s="11"/>
      <c r="M109" s="11">
        <f>SUMIF($I$77:$I$106,I109,$M$77:$M$106)</f>
        <v>10852060.419940032</v>
      </c>
      <c r="N109" s="11">
        <f>SUMIF($I$77:$I$106,I109,$N$77:$N$106)</f>
        <v>6755217.938366808</v>
      </c>
      <c r="O109" s="11">
        <f>SUMIF($I$77:$I$106,I109,$O$77:$O$106)</f>
        <v>19441089.660059966</v>
      </c>
      <c r="P109" s="88"/>
      <c r="Q109" s="117"/>
      <c r="R109" s="8"/>
      <c r="S109" s="5"/>
    </row>
    <row r="110" spans="1:19" s="9" customFormat="1" ht="39" customHeight="1" thickBot="1" x14ac:dyDescent="0.3">
      <c r="A110" s="241"/>
      <c r="B110" s="242"/>
      <c r="C110" s="243"/>
      <c r="D110" s="33"/>
      <c r="E110" s="33"/>
      <c r="F110" s="42"/>
      <c r="G110" s="42"/>
      <c r="H110" s="42"/>
      <c r="I110" s="45" t="s">
        <v>69</v>
      </c>
      <c r="J110" s="12">
        <f>SUMIF($I$77:$I$106,I110,$J$77:$J$106)</f>
        <v>0</v>
      </c>
      <c r="K110" s="12">
        <f>SUMIF($I$77:$I$106,I110,$K$77:$K$106)</f>
        <v>0</v>
      </c>
      <c r="L110" s="12"/>
      <c r="M110" s="12">
        <f>SUMIF($I$77:$I$106,I110,$M$77:$M$106)</f>
        <v>0</v>
      </c>
      <c r="N110" s="12">
        <f>SUMIF($I$77:$I$106,I110,$N$77:$N$106)</f>
        <v>0</v>
      </c>
      <c r="O110" s="12">
        <f>SUMIF($I$77:$I$106,I110,$O$77:$O$106)</f>
        <v>0</v>
      </c>
      <c r="P110" s="90"/>
      <c r="Q110" s="119"/>
      <c r="R110" s="8"/>
      <c r="S110" s="5"/>
    </row>
    <row r="111" spans="1:19" s="4" customFormat="1" ht="156.75" customHeight="1" outlineLevel="1" x14ac:dyDescent="0.25">
      <c r="A111" s="129">
        <v>64</v>
      </c>
      <c r="B111" s="184" t="s">
        <v>0</v>
      </c>
      <c r="C111" s="184" t="s">
        <v>1</v>
      </c>
      <c r="D111" s="190" t="s">
        <v>418</v>
      </c>
      <c r="E111" s="190"/>
      <c r="F111" s="191"/>
      <c r="G111" s="191" t="s">
        <v>342</v>
      </c>
      <c r="H111" s="191" t="s">
        <v>191</v>
      </c>
      <c r="I111" s="130" t="s">
        <v>2</v>
      </c>
      <c r="J111" s="54">
        <f>3047000000+3000000000</f>
        <v>6047000000</v>
      </c>
      <c r="K111" s="32">
        <v>6000000000</v>
      </c>
      <c r="L111" s="128"/>
      <c r="M111" s="32">
        <f>4439902959+260956717.5+995441267.7+73262192.2+103703140+88648827.6+23704487.9+9999937.1+167000+1814495.5+405741.8+291594+193389.5+167000</f>
        <v>5998658749.8000002</v>
      </c>
      <c r="N111" s="32"/>
      <c r="O111" s="195">
        <f t="shared" ref="O111:O116" si="5">K111-M111</f>
        <v>1341250.1999998093</v>
      </c>
      <c r="P111" s="86" t="s">
        <v>73</v>
      </c>
      <c r="Q111" s="149" t="s">
        <v>437</v>
      </c>
      <c r="R111" s="3"/>
      <c r="S111" s="5"/>
    </row>
    <row r="112" spans="1:19" s="4" customFormat="1" ht="147" customHeight="1" outlineLevel="1" x14ac:dyDescent="0.25">
      <c r="A112" s="129">
        <v>65</v>
      </c>
      <c r="B112" s="184" t="s">
        <v>0</v>
      </c>
      <c r="C112" s="247" t="s">
        <v>7</v>
      </c>
      <c r="D112" s="184" t="s">
        <v>418</v>
      </c>
      <c r="E112" s="184"/>
      <c r="F112" s="188"/>
      <c r="G112" s="188" t="s">
        <v>427</v>
      </c>
      <c r="H112" s="188" t="s">
        <v>8</v>
      </c>
      <c r="I112" s="130" t="s">
        <v>2</v>
      </c>
      <c r="J112" s="152">
        <v>2000000000</v>
      </c>
      <c r="K112" s="32">
        <v>2000000000</v>
      </c>
      <c r="L112" s="153">
        <v>2.7E-2</v>
      </c>
      <c r="M112" s="32"/>
      <c r="N112" s="132">
        <f>68417269.8+13462993.2+49643.9+1421840.5+38566246.5+491534.9+1119195.4+178355+29883.2+10588.6+3022.3</f>
        <v>123750573.30000001</v>
      </c>
      <c r="O112" s="132">
        <f t="shared" si="5"/>
        <v>2000000000</v>
      </c>
      <c r="P112" s="86" t="s">
        <v>73</v>
      </c>
      <c r="Q112" s="148" t="s">
        <v>437</v>
      </c>
      <c r="R112" s="3"/>
      <c r="S112" s="5"/>
    </row>
    <row r="113" spans="1:19" s="4" customFormat="1" ht="144.75" customHeight="1" outlineLevel="1" x14ac:dyDescent="0.25">
      <c r="A113" s="129">
        <v>66</v>
      </c>
      <c r="B113" s="184" t="s">
        <v>0</v>
      </c>
      <c r="C113" s="249"/>
      <c r="D113" s="137" t="s">
        <v>418</v>
      </c>
      <c r="E113" s="137"/>
      <c r="F113" s="135"/>
      <c r="G113" s="188" t="s">
        <v>428</v>
      </c>
      <c r="H113" s="188" t="s">
        <v>9</v>
      </c>
      <c r="I113" s="185" t="s">
        <v>2</v>
      </c>
      <c r="J113" s="152">
        <v>2000000000</v>
      </c>
      <c r="K113" s="32">
        <v>2000000000</v>
      </c>
      <c r="L113" s="55">
        <v>5.7000000000000002E-2</v>
      </c>
      <c r="M113" s="32"/>
      <c r="N113" s="32">
        <f>153819379.6+28421448.8+780809.1+528470.5+2614769.3+283790.1+5159868.8+1406739.9</f>
        <v>193015276.10000002</v>
      </c>
      <c r="O113" s="132">
        <f t="shared" si="5"/>
        <v>2000000000</v>
      </c>
      <c r="P113" s="86" t="s">
        <v>73</v>
      </c>
      <c r="Q113" s="148" t="s">
        <v>437</v>
      </c>
      <c r="R113" s="3"/>
      <c r="S113" s="5"/>
    </row>
    <row r="114" spans="1:19" s="4" customFormat="1" ht="168" customHeight="1" outlineLevel="1" x14ac:dyDescent="0.25">
      <c r="A114" s="129">
        <v>67</v>
      </c>
      <c r="B114" s="27" t="s">
        <v>0</v>
      </c>
      <c r="C114" s="248"/>
      <c r="D114" s="126"/>
      <c r="E114" s="126"/>
      <c r="F114" s="112"/>
      <c r="G114" s="135" t="s">
        <v>429</v>
      </c>
      <c r="H114" s="135" t="s">
        <v>192</v>
      </c>
      <c r="I114" s="185" t="s">
        <v>2</v>
      </c>
      <c r="J114" s="152">
        <v>5000000000</v>
      </c>
      <c r="K114" s="32">
        <v>5000000000</v>
      </c>
      <c r="L114" s="153">
        <v>2.7E-2</v>
      </c>
      <c r="M114" s="32"/>
      <c r="N114" s="32">
        <f>34209157.5+76580313.4+83507353.3+1840160.7</f>
        <v>196136984.89999998</v>
      </c>
      <c r="O114" s="132">
        <f t="shared" si="5"/>
        <v>5000000000</v>
      </c>
      <c r="P114" s="85" t="s">
        <v>73</v>
      </c>
      <c r="Q114" s="120" t="s">
        <v>437</v>
      </c>
      <c r="R114" s="3"/>
      <c r="S114" s="5"/>
    </row>
    <row r="115" spans="1:19" s="4" customFormat="1" ht="162" outlineLevel="1" x14ac:dyDescent="0.25">
      <c r="A115" s="181">
        <v>68</v>
      </c>
      <c r="B115" s="190" t="s">
        <v>3</v>
      </c>
      <c r="C115" s="190" t="s">
        <v>5</v>
      </c>
      <c r="D115" s="190" t="s">
        <v>418</v>
      </c>
      <c r="E115" s="190"/>
      <c r="F115" s="191"/>
      <c r="G115" s="191" t="s">
        <v>343</v>
      </c>
      <c r="H115" s="191" t="s">
        <v>6</v>
      </c>
      <c r="I115" s="185" t="s">
        <v>2</v>
      </c>
      <c r="J115" s="196">
        <v>562500000</v>
      </c>
      <c r="K115" s="94">
        <v>562500000</v>
      </c>
      <c r="L115" s="55"/>
      <c r="M115" s="94"/>
      <c r="N115" s="94"/>
      <c r="O115" s="142">
        <f t="shared" si="5"/>
        <v>562500000</v>
      </c>
      <c r="P115" s="91" t="s">
        <v>73</v>
      </c>
      <c r="Q115" s="149" t="s">
        <v>437</v>
      </c>
      <c r="R115" s="3"/>
      <c r="S115" s="5"/>
    </row>
    <row r="116" spans="1:19" s="4" customFormat="1" ht="95.25" outlineLevel="1" thickBot="1" x14ac:dyDescent="0.3">
      <c r="A116" s="56">
        <v>69</v>
      </c>
      <c r="B116" s="95" t="s">
        <v>3</v>
      </c>
      <c r="C116" s="95" t="s">
        <v>4</v>
      </c>
      <c r="D116" s="95" t="s">
        <v>418</v>
      </c>
      <c r="E116" s="95"/>
      <c r="F116" s="57"/>
      <c r="G116" s="57"/>
      <c r="H116" s="57" t="s">
        <v>353</v>
      </c>
      <c r="I116" s="95" t="s">
        <v>2</v>
      </c>
      <c r="J116" s="58">
        <f>2000000000+7300000000</f>
        <v>9300000000</v>
      </c>
      <c r="K116" s="59">
        <f>9024295000</f>
        <v>9024295000</v>
      </c>
      <c r="L116" s="60"/>
      <c r="M116" s="59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+777853.6+3576579+4160398+1285963+3005301+408727.2+3440908.5+14162695+98148+291594+205919+250000+77038</f>
        <v>8840805713.5000076</v>
      </c>
      <c r="N116" s="59">
        <f>34040214.6+16030636.8+1797857.1+7375602.5+3983531.1+11814600.3+22459610.6+9668538.8+11671711.4+6908264.6+1329981.6</f>
        <v>127080549.39999999</v>
      </c>
      <c r="O116" s="61">
        <f t="shared" si="5"/>
        <v>183489286.49999237</v>
      </c>
      <c r="P116" s="96" t="s">
        <v>73</v>
      </c>
      <c r="Q116" s="121" t="s">
        <v>437</v>
      </c>
      <c r="R116" s="3"/>
      <c r="S116" s="5"/>
    </row>
    <row r="117" spans="1:19" s="9" customFormat="1" ht="30" customHeight="1" x14ac:dyDescent="0.25">
      <c r="A117" s="244" t="s">
        <v>193</v>
      </c>
      <c r="B117" s="245"/>
      <c r="C117" s="246"/>
      <c r="D117" s="110"/>
      <c r="E117" s="110"/>
      <c r="F117" s="63"/>
      <c r="G117" s="63"/>
      <c r="H117" s="63"/>
      <c r="I117" s="113" t="s">
        <v>27</v>
      </c>
      <c r="J117" s="14">
        <f>SUMIF($I$111:$I$116,I117,$J$111:$J$116)</f>
        <v>0</v>
      </c>
      <c r="K117" s="14">
        <f>SUMIF($I$111:$I$116,I117,$K$111:$K$116)</f>
        <v>0</v>
      </c>
      <c r="L117" s="14"/>
      <c r="M117" s="14">
        <f>SUMIF($I$111:$I$116,I117,$M$111:$M$116)</f>
        <v>0</v>
      </c>
      <c r="N117" s="14">
        <f>SUMIF($I$111:$I$116,I117,$N$111:$N$116)</f>
        <v>0</v>
      </c>
      <c r="O117" s="14">
        <f>SUMIF($I$111:$I$116,I117,$O$111:$O$116)</f>
        <v>0</v>
      </c>
      <c r="P117" s="92"/>
      <c r="Q117" s="122"/>
      <c r="R117" s="3"/>
      <c r="S117" s="5"/>
    </row>
    <row r="118" spans="1:19" s="9" customFormat="1" ht="27" customHeight="1" x14ac:dyDescent="0.25">
      <c r="A118" s="238"/>
      <c r="B118" s="239"/>
      <c r="C118" s="240"/>
      <c r="D118" s="33"/>
      <c r="E118" s="33"/>
      <c r="F118" s="42"/>
      <c r="G118" s="42"/>
      <c r="H118" s="42"/>
      <c r="I118" s="114" t="s">
        <v>2</v>
      </c>
      <c r="J118" s="14">
        <f>SUMIF($I$111:$I$116,I118,$J$111:$J$116)</f>
        <v>24909500000</v>
      </c>
      <c r="K118" s="11">
        <f>SUMIF($I$111:$I$116,I118,$K$111:$K$116)</f>
        <v>24586795000</v>
      </c>
      <c r="L118" s="11"/>
      <c r="M118" s="11">
        <f>SUMIF($I$111:$I$116,I118,$M$111:$M$116)</f>
        <v>14839464463.300007</v>
      </c>
      <c r="N118" s="11">
        <f>SUMIF($I$111:$I$116,I118,$N$111:$N$116)</f>
        <v>639983383.70000005</v>
      </c>
      <c r="O118" s="11">
        <f>SUMIF($I$111:$I$116,I118,$O$111:$O$116)</f>
        <v>9747330536.6999931</v>
      </c>
      <c r="P118" s="88"/>
      <c r="Q118" s="117"/>
      <c r="R118" s="3"/>
      <c r="S118" s="5"/>
    </row>
    <row r="119" spans="1:19" s="9" customFormat="1" ht="28.5" customHeight="1" x14ac:dyDescent="0.25">
      <c r="A119" s="238"/>
      <c r="B119" s="239"/>
      <c r="C119" s="240"/>
      <c r="D119" s="33"/>
      <c r="E119" s="33"/>
      <c r="F119" s="42"/>
      <c r="G119" s="42"/>
      <c r="H119" s="42"/>
      <c r="I119" s="114" t="s">
        <v>49</v>
      </c>
      <c r="J119" s="14">
        <f>SUMIF($I$111:$I$116,I119,$J$111:$J$116)</f>
        <v>0</v>
      </c>
      <c r="K119" s="11">
        <f>SUMIF($I$111:$I$116,I119,$K$111:$K$116)</f>
        <v>0</v>
      </c>
      <c r="L119" s="11"/>
      <c r="M119" s="11">
        <f>SUMIF($I$111:$I$116,I119,$M$111:$M$116)</f>
        <v>0</v>
      </c>
      <c r="N119" s="11">
        <f>SUMIF($I$111:$I$116,I119,$N$111:$N$116)</f>
        <v>0</v>
      </c>
      <c r="O119" s="11">
        <f>SUMIF($I$111:$I$116,I119,$O$111:$O$116)</f>
        <v>0</v>
      </c>
      <c r="P119" s="88"/>
      <c r="Q119" s="117"/>
      <c r="R119" s="8"/>
      <c r="S119" s="5"/>
    </row>
    <row r="120" spans="1:19" s="9" customFormat="1" ht="30" customHeight="1" thickBot="1" x14ac:dyDescent="0.3">
      <c r="A120" s="241"/>
      <c r="B120" s="242"/>
      <c r="C120" s="243"/>
      <c r="D120" s="107"/>
      <c r="E120" s="107"/>
      <c r="F120" s="45"/>
      <c r="G120" s="45"/>
      <c r="H120" s="45"/>
      <c r="I120" s="105" t="s">
        <v>69</v>
      </c>
      <c r="J120" s="12">
        <f>SUMIF($I$111:$I$116,I120,$J$111:$J$116)</f>
        <v>0</v>
      </c>
      <c r="K120" s="12">
        <f>SUMIF($I$111:$I$116,I120,$K$111:$K$116)</f>
        <v>0</v>
      </c>
      <c r="L120" s="12"/>
      <c r="M120" s="12">
        <f>SUMIF($I$111:$I$116,I120,$M$111:$M$116)</f>
        <v>0</v>
      </c>
      <c r="N120" s="12">
        <f>SUMIF($I$111:$I$116,I120,$N$111:$N$116)</f>
        <v>0</v>
      </c>
      <c r="O120" s="12">
        <f>SUMIF($I$111:$I$116,I120,$O$111:$O$116)</f>
        <v>0</v>
      </c>
      <c r="P120" s="90"/>
      <c r="Q120" s="119"/>
      <c r="R120" s="8"/>
      <c r="S120" s="5"/>
    </row>
    <row r="121" spans="1:19" s="4" customFormat="1" ht="121.5" outlineLevel="1" x14ac:dyDescent="0.25">
      <c r="A121" s="181">
        <v>70</v>
      </c>
      <c r="B121" s="197" t="s">
        <v>194</v>
      </c>
      <c r="C121" s="197" t="s">
        <v>195</v>
      </c>
      <c r="D121" s="190" t="s">
        <v>418</v>
      </c>
      <c r="E121" s="190"/>
      <c r="F121" s="190" t="s">
        <v>408</v>
      </c>
      <c r="G121" s="191" t="s">
        <v>344</v>
      </c>
      <c r="H121" s="191" t="s">
        <v>196</v>
      </c>
      <c r="I121" s="130" t="s">
        <v>2</v>
      </c>
      <c r="J121" s="62">
        <v>574491741</v>
      </c>
      <c r="K121" s="62">
        <v>574491741</v>
      </c>
      <c r="L121" s="139">
        <v>1E-4</v>
      </c>
      <c r="M121" s="62">
        <f>132575017.2</f>
        <v>132575017.2</v>
      </c>
      <c r="N121" s="62">
        <f>85623+14165+39966.7</f>
        <v>139754.70000000001</v>
      </c>
      <c r="O121" s="142">
        <f t="shared" ref="O121:O133" si="6">K121-M121</f>
        <v>441916723.80000001</v>
      </c>
      <c r="P121" s="91" t="s">
        <v>197</v>
      </c>
      <c r="Q121" s="177" t="s">
        <v>437</v>
      </c>
      <c r="R121" s="3"/>
      <c r="S121" s="5"/>
    </row>
    <row r="122" spans="1:19" s="4" customFormat="1" ht="108" outlineLevel="1" x14ac:dyDescent="0.25">
      <c r="A122" s="129">
        <v>71</v>
      </c>
      <c r="B122" s="192" t="s">
        <v>198</v>
      </c>
      <c r="C122" s="192" t="s">
        <v>195</v>
      </c>
      <c r="D122" s="184" t="s">
        <v>418</v>
      </c>
      <c r="E122" s="184"/>
      <c r="F122" s="184" t="s">
        <v>408</v>
      </c>
      <c r="G122" s="188" t="s">
        <v>345</v>
      </c>
      <c r="H122" s="188" t="s">
        <v>199</v>
      </c>
      <c r="I122" s="130" t="s">
        <v>2</v>
      </c>
      <c r="J122" s="54">
        <v>98612371</v>
      </c>
      <c r="K122" s="47">
        <v>98612371</v>
      </c>
      <c r="L122" s="127">
        <v>1E-4</v>
      </c>
      <c r="M122" s="47"/>
      <c r="N122" s="47">
        <v>17060</v>
      </c>
      <c r="O122" s="141">
        <f t="shared" si="6"/>
        <v>98612371</v>
      </c>
      <c r="P122" s="86" t="s">
        <v>200</v>
      </c>
      <c r="Q122" s="120" t="s">
        <v>437</v>
      </c>
      <c r="R122" s="3"/>
      <c r="S122" s="5"/>
    </row>
    <row r="123" spans="1:19" s="4" customFormat="1" ht="108" outlineLevel="1" x14ac:dyDescent="0.25">
      <c r="A123" s="129">
        <v>72</v>
      </c>
      <c r="B123" s="192" t="s">
        <v>201</v>
      </c>
      <c r="C123" s="192" t="s">
        <v>195</v>
      </c>
      <c r="D123" s="184" t="s">
        <v>418</v>
      </c>
      <c r="E123" s="184"/>
      <c r="F123" s="184" t="s">
        <v>408</v>
      </c>
      <c r="G123" s="188" t="s">
        <v>346</v>
      </c>
      <c r="H123" s="188" t="s">
        <v>202</v>
      </c>
      <c r="I123" s="130" t="s">
        <v>2</v>
      </c>
      <c r="J123" s="54">
        <v>60132468</v>
      </c>
      <c r="K123" s="47">
        <v>60132468</v>
      </c>
      <c r="L123" s="127">
        <v>1E-4</v>
      </c>
      <c r="M123" s="47">
        <f>4625574.5+4625574.5+4625574.5+4625574.5+4625575+4625575+4625575+4625575+4625575+4625575+4625575</f>
        <v>50881323</v>
      </c>
      <c r="N123" s="47">
        <f>10367+1511.2+1400+1500+1500+1000+20000+1000</f>
        <v>38278.199999999997</v>
      </c>
      <c r="O123" s="141">
        <f t="shared" si="6"/>
        <v>9251145</v>
      </c>
      <c r="P123" s="86" t="s">
        <v>203</v>
      </c>
      <c r="Q123" s="120" t="s">
        <v>434</v>
      </c>
      <c r="R123" s="15"/>
      <c r="S123" s="5"/>
    </row>
    <row r="124" spans="1:19" s="4" customFormat="1" ht="108" outlineLevel="1" x14ac:dyDescent="0.25">
      <c r="A124" s="129">
        <v>73</v>
      </c>
      <c r="B124" s="192" t="s">
        <v>204</v>
      </c>
      <c r="C124" s="192" t="s">
        <v>195</v>
      </c>
      <c r="D124" s="184" t="s">
        <v>418</v>
      </c>
      <c r="E124" s="184"/>
      <c r="F124" s="184" t="s">
        <v>408</v>
      </c>
      <c r="G124" s="188" t="s">
        <v>347</v>
      </c>
      <c r="H124" s="188" t="s">
        <v>205</v>
      </c>
      <c r="I124" s="130" t="s">
        <v>2</v>
      </c>
      <c r="J124" s="152">
        <f>9500000+12453199</f>
        <v>21953199</v>
      </c>
      <c r="K124" s="47">
        <f>9500000+12453199</f>
        <v>21953199</v>
      </c>
      <c r="L124" s="127">
        <v>1E-4</v>
      </c>
      <c r="M124" s="47"/>
      <c r="N124" s="47">
        <v>3720</v>
      </c>
      <c r="O124" s="141">
        <f t="shared" si="6"/>
        <v>21953199</v>
      </c>
      <c r="P124" s="86" t="s">
        <v>206</v>
      </c>
      <c r="Q124" s="120" t="s">
        <v>437</v>
      </c>
      <c r="R124" s="15"/>
      <c r="S124" s="5"/>
    </row>
    <row r="125" spans="1:19" s="4" customFormat="1" ht="129.75" customHeight="1" outlineLevel="1" x14ac:dyDescent="0.25">
      <c r="A125" s="129">
        <v>74</v>
      </c>
      <c r="B125" s="192" t="s">
        <v>207</v>
      </c>
      <c r="C125" s="192" t="s">
        <v>195</v>
      </c>
      <c r="D125" s="184" t="s">
        <v>418</v>
      </c>
      <c r="E125" s="184"/>
      <c r="F125" s="184" t="s">
        <v>408</v>
      </c>
      <c r="G125" s="188" t="s">
        <v>347</v>
      </c>
      <c r="H125" s="188" t="s">
        <v>208</v>
      </c>
      <c r="I125" s="130" t="s">
        <v>2</v>
      </c>
      <c r="J125" s="54">
        <v>15801400</v>
      </c>
      <c r="K125" s="47">
        <v>15801400</v>
      </c>
      <c r="L125" s="127">
        <v>1E-4</v>
      </c>
      <c r="M125" s="47"/>
      <c r="N125" s="47">
        <v>3500</v>
      </c>
      <c r="O125" s="141">
        <f t="shared" si="6"/>
        <v>15801400</v>
      </c>
      <c r="P125" s="86" t="s">
        <v>209</v>
      </c>
      <c r="Q125" s="120" t="s">
        <v>437</v>
      </c>
      <c r="R125" s="15"/>
      <c r="S125" s="5"/>
    </row>
    <row r="126" spans="1:19" s="4" customFormat="1" ht="129.75" customHeight="1" outlineLevel="1" x14ac:dyDescent="0.25">
      <c r="A126" s="129">
        <v>75</v>
      </c>
      <c r="B126" s="192" t="s">
        <v>210</v>
      </c>
      <c r="C126" s="192" t="s">
        <v>195</v>
      </c>
      <c r="D126" s="184" t="s">
        <v>418</v>
      </c>
      <c r="E126" s="184"/>
      <c r="F126" s="184" t="s">
        <v>408</v>
      </c>
      <c r="G126" s="188" t="s">
        <v>347</v>
      </c>
      <c r="H126" s="188" t="s">
        <v>208</v>
      </c>
      <c r="I126" s="130" t="s">
        <v>2</v>
      </c>
      <c r="J126" s="54">
        <v>2554000</v>
      </c>
      <c r="K126" s="47">
        <v>2554000</v>
      </c>
      <c r="L126" s="127">
        <v>1E-4</v>
      </c>
      <c r="M126" s="47"/>
      <c r="N126" s="47">
        <f>500</f>
        <v>500</v>
      </c>
      <c r="O126" s="141">
        <f t="shared" si="6"/>
        <v>2554000</v>
      </c>
      <c r="P126" s="86" t="s">
        <v>211</v>
      </c>
      <c r="Q126" s="120" t="s">
        <v>437</v>
      </c>
      <c r="R126" s="15"/>
      <c r="S126" s="5"/>
    </row>
    <row r="127" spans="1:19" s="4" customFormat="1" ht="129.75" customHeight="1" outlineLevel="1" x14ac:dyDescent="0.25">
      <c r="A127" s="129">
        <v>76</v>
      </c>
      <c r="B127" s="192" t="s">
        <v>212</v>
      </c>
      <c r="C127" s="192" t="s">
        <v>195</v>
      </c>
      <c r="D127" s="184" t="s">
        <v>418</v>
      </c>
      <c r="E127" s="184"/>
      <c r="F127" s="184" t="s">
        <v>408</v>
      </c>
      <c r="G127" s="188" t="s">
        <v>347</v>
      </c>
      <c r="H127" s="188" t="s">
        <v>213</v>
      </c>
      <c r="I127" s="130" t="s">
        <v>2</v>
      </c>
      <c r="J127" s="54">
        <v>29053320</v>
      </c>
      <c r="K127" s="47">
        <v>29053320</v>
      </c>
      <c r="L127" s="127">
        <v>1E-4</v>
      </c>
      <c r="M127" s="47"/>
      <c r="N127" s="47">
        <f>2000+3000</f>
        <v>5000</v>
      </c>
      <c r="O127" s="141">
        <f t="shared" si="6"/>
        <v>29053320</v>
      </c>
      <c r="P127" s="86" t="s">
        <v>214</v>
      </c>
      <c r="Q127" s="120" t="s">
        <v>437</v>
      </c>
      <c r="R127" s="15"/>
      <c r="S127" s="5"/>
    </row>
    <row r="128" spans="1:19" s="4" customFormat="1" ht="129.75" customHeight="1" outlineLevel="1" x14ac:dyDescent="0.25">
      <c r="A128" s="129">
        <v>77</v>
      </c>
      <c r="B128" s="192" t="s">
        <v>215</v>
      </c>
      <c r="C128" s="192" t="s">
        <v>195</v>
      </c>
      <c r="D128" s="184" t="s">
        <v>418</v>
      </c>
      <c r="E128" s="184"/>
      <c r="F128" s="184" t="s">
        <v>408</v>
      </c>
      <c r="G128" s="188" t="s">
        <v>347</v>
      </c>
      <c r="H128" s="188" t="s">
        <v>216</v>
      </c>
      <c r="I128" s="130" t="s">
        <v>2</v>
      </c>
      <c r="J128" s="54">
        <v>192064443</v>
      </c>
      <c r="K128" s="47">
        <f>95000000+97064443</f>
        <v>192064443</v>
      </c>
      <c r="L128" s="127">
        <v>1E-4</v>
      </c>
      <c r="M128" s="47">
        <f>65000000+20000000+30000000+10000000+10000000</f>
        <v>135000000</v>
      </c>
      <c r="N128" s="47">
        <f>16100+12200+23933</f>
        <v>52233</v>
      </c>
      <c r="O128" s="141">
        <f t="shared" si="6"/>
        <v>57064443</v>
      </c>
      <c r="P128" s="86" t="s">
        <v>217</v>
      </c>
      <c r="Q128" s="120" t="s">
        <v>434</v>
      </c>
      <c r="R128" s="15"/>
      <c r="S128" s="5"/>
    </row>
    <row r="129" spans="1:19" s="4" customFormat="1" ht="129.75" customHeight="1" outlineLevel="1" x14ac:dyDescent="0.25">
      <c r="A129" s="129">
        <v>78</v>
      </c>
      <c r="B129" s="192" t="s">
        <v>219</v>
      </c>
      <c r="C129" s="192" t="s">
        <v>195</v>
      </c>
      <c r="D129" s="184" t="s">
        <v>418</v>
      </c>
      <c r="E129" s="184"/>
      <c r="F129" s="184" t="s">
        <v>408</v>
      </c>
      <c r="G129" s="188" t="s">
        <v>347</v>
      </c>
      <c r="H129" s="188" t="s">
        <v>218</v>
      </c>
      <c r="I129" s="130" t="s">
        <v>2</v>
      </c>
      <c r="J129" s="54">
        <v>3469534</v>
      </c>
      <c r="K129" s="47">
        <v>3469534</v>
      </c>
      <c r="L129" s="127">
        <v>1E-4</v>
      </c>
      <c r="M129" s="47">
        <v>266887</v>
      </c>
      <c r="N129" s="47">
        <f>600+86</f>
        <v>686</v>
      </c>
      <c r="O129" s="141">
        <f t="shared" si="6"/>
        <v>3202647</v>
      </c>
      <c r="P129" s="86" t="s">
        <v>220</v>
      </c>
      <c r="Q129" s="120" t="s">
        <v>437</v>
      </c>
      <c r="R129" s="15"/>
      <c r="S129" s="5"/>
    </row>
    <row r="130" spans="1:19" s="4" customFormat="1" ht="129.75" customHeight="1" outlineLevel="1" x14ac:dyDescent="0.25">
      <c r="A130" s="129">
        <v>79</v>
      </c>
      <c r="B130" s="192" t="s">
        <v>221</v>
      </c>
      <c r="C130" s="192" t="s">
        <v>195</v>
      </c>
      <c r="D130" s="184" t="s">
        <v>418</v>
      </c>
      <c r="E130" s="184"/>
      <c r="F130" s="184" t="s">
        <v>408</v>
      </c>
      <c r="G130" s="188" t="s">
        <v>347</v>
      </c>
      <c r="H130" s="188" t="s">
        <v>222</v>
      </c>
      <c r="I130" s="130" t="s">
        <v>2</v>
      </c>
      <c r="J130" s="54">
        <v>11781702</v>
      </c>
      <c r="K130" s="47">
        <v>11781702</v>
      </c>
      <c r="L130" s="127">
        <v>1E-4</v>
      </c>
      <c r="M130" s="47">
        <f>906285+906285+906285+906285+906285+906285+906285+906285+906285+906285+906285</f>
        <v>9969135</v>
      </c>
      <c r="N130" s="47">
        <f>3000+1500+1500</f>
        <v>6000</v>
      </c>
      <c r="O130" s="141">
        <f t="shared" si="6"/>
        <v>1812567</v>
      </c>
      <c r="P130" s="86" t="s">
        <v>223</v>
      </c>
      <c r="Q130" s="120" t="s">
        <v>434</v>
      </c>
      <c r="R130" s="15"/>
      <c r="S130" s="5"/>
    </row>
    <row r="131" spans="1:19" s="4" customFormat="1" ht="129.75" customHeight="1" outlineLevel="1" x14ac:dyDescent="0.25">
      <c r="A131" s="129">
        <v>0</v>
      </c>
      <c r="B131" s="192" t="s">
        <v>224</v>
      </c>
      <c r="C131" s="192" t="s">
        <v>195</v>
      </c>
      <c r="D131" s="184" t="s">
        <v>418</v>
      </c>
      <c r="E131" s="184"/>
      <c r="F131" s="184" t="s">
        <v>408</v>
      </c>
      <c r="G131" s="188" t="s">
        <v>347</v>
      </c>
      <c r="H131" s="188" t="s">
        <v>225</v>
      </c>
      <c r="I131" s="130" t="s">
        <v>2</v>
      </c>
      <c r="J131" s="54">
        <f>112000000+16200000</f>
        <v>128200000</v>
      </c>
      <c r="K131" s="47">
        <f>112000000+16200000</f>
        <v>128200000</v>
      </c>
      <c r="L131" s="127">
        <v>1E-4</v>
      </c>
      <c r="M131" s="47">
        <f>3000000+3000000+4000000</f>
        <v>10000000</v>
      </c>
      <c r="N131" s="47">
        <f>25640+12820+12820+12820</f>
        <v>64100</v>
      </c>
      <c r="O131" s="141">
        <f t="shared" si="6"/>
        <v>118200000</v>
      </c>
      <c r="P131" s="86" t="s">
        <v>226</v>
      </c>
      <c r="Q131" s="120" t="s">
        <v>437</v>
      </c>
      <c r="R131" s="15"/>
      <c r="S131" s="5"/>
    </row>
    <row r="132" spans="1:19" s="4" customFormat="1" ht="129.75" customHeight="1" outlineLevel="1" x14ac:dyDescent="0.25">
      <c r="A132" s="129">
        <v>81</v>
      </c>
      <c r="B132" s="192" t="s">
        <v>227</v>
      </c>
      <c r="C132" s="192" t="s">
        <v>195</v>
      </c>
      <c r="D132" s="184" t="s">
        <v>418</v>
      </c>
      <c r="E132" s="184"/>
      <c r="F132" s="184" t="s">
        <v>408</v>
      </c>
      <c r="G132" s="188" t="s">
        <v>347</v>
      </c>
      <c r="H132" s="188" t="s">
        <v>228</v>
      </c>
      <c r="I132" s="130" t="s">
        <v>2</v>
      </c>
      <c r="J132" s="54">
        <v>26127500</v>
      </c>
      <c r="K132" s="47">
        <v>26127500</v>
      </c>
      <c r="L132" s="127">
        <v>1E-4</v>
      </c>
      <c r="M132" s="47"/>
      <c r="N132" s="47">
        <f>4530</f>
        <v>4530</v>
      </c>
      <c r="O132" s="141">
        <f t="shared" si="6"/>
        <v>26127500</v>
      </c>
      <c r="P132" s="86" t="s">
        <v>229</v>
      </c>
      <c r="Q132" s="120" t="s">
        <v>437</v>
      </c>
      <c r="R132" s="15"/>
      <c r="S132" s="5"/>
    </row>
    <row r="133" spans="1:19" s="4" customFormat="1" ht="129.75" customHeight="1" outlineLevel="1" x14ac:dyDescent="0.25">
      <c r="A133" s="129">
        <v>82</v>
      </c>
      <c r="B133" s="192" t="s">
        <v>230</v>
      </c>
      <c r="C133" s="192" t="s">
        <v>195</v>
      </c>
      <c r="D133" s="184" t="s">
        <v>418</v>
      </c>
      <c r="E133" s="184"/>
      <c r="F133" s="184" t="s">
        <v>408</v>
      </c>
      <c r="G133" s="188" t="s">
        <v>347</v>
      </c>
      <c r="H133" s="188" t="s">
        <v>231</v>
      </c>
      <c r="I133" s="130" t="s">
        <v>2</v>
      </c>
      <c r="J133" s="54">
        <v>19297200</v>
      </c>
      <c r="K133" s="47">
        <f>10800000+3440000+1440000+3617200</f>
        <v>19297200</v>
      </c>
      <c r="L133" s="127">
        <v>1E-4</v>
      </c>
      <c r="M133" s="47"/>
      <c r="N133" s="47">
        <f>3000</f>
        <v>3000</v>
      </c>
      <c r="O133" s="141">
        <f t="shared" si="6"/>
        <v>19297200</v>
      </c>
      <c r="P133" s="86" t="s">
        <v>232</v>
      </c>
      <c r="Q133" s="120" t="s">
        <v>504</v>
      </c>
      <c r="R133" s="15"/>
      <c r="S133" s="5"/>
    </row>
    <row r="134" spans="1:19" s="4" customFormat="1" ht="129.75" customHeight="1" outlineLevel="1" x14ac:dyDescent="0.25">
      <c r="A134" s="129">
        <v>83</v>
      </c>
      <c r="B134" s="192" t="s">
        <v>233</v>
      </c>
      <c r="C134" s="192" t="s">
        <v>195</v>
      </c>
      <c r="D134" s="184" t="s">
        <v>418</v>
      </c>
      <c r="E134" s="184"/>
      <c r="F134" s="184" t="s">
        <v>408</v>
      </c>
      <c r="G134" s="188" t="s">
        <v>347</v>
      </c>
      <c r="H134" s="188" t="s">
        <v>218</v>
      </c>
      <c r="I134" s="130" t="s">
        <v>2</v>
      </c>
      <c r="J134" s="54">
        <v>2164000</v>
      </c>
      <c r="K134" s="47">
        <v>2164000</v>
      </c>
      <c r="L134" s="127">
        <v>1E-4</v>
      </c>
      <c r="M134" s="47">
        <f>166462+166462+165000+167000+166500+166500+67000+265923+100000</f>
        <v>1430847</v>
      </c>
      <c r="N134" s="47">
        <f>370+54.8+100+100+500</f>
        <v>1124.8</v>
      </c>
      <c r="O134" s="141">
        <f>K134-N134</f>
        <v>2162875.2000000002</v>
      </c>
      <c r="P134" s="86" t="s">
        <v>234</v>
      </c>
      <c r="Q134" s="120" t="s">
        <v>434</v>
      </c>
      <c r="R134" s="15"/>
      <c r="S134" s="5"/>
    </row>
    <row r="135" spans="1:19" s="4" customFormat="1" ht="129.75" customHeight="1" outlineLevel="1" x14ac:dyDescent="0.25">
      <c r="A135" s="129">
        <v>84</v>
      </c>
      <c r="B135" s="192" t="s">
        <v>235</v>
      </c>
      <c r="C135" s="192" t="s">
        <v>195</v>
      </c>
      <c r="D135" s="184" t="s">
        <v>418</v>
      </c>
      <c r="E135" s="184"/>
      <c r="F135" s="184" t="s">
        <v>408</v>
      </c>
      <c r="G135" s="188" t="s">
        <v>347</v>
      </c>
      <c r="H135" s="188" t="s">
        <v>236</v>
      </c>
      <c r="I135" s="130" t="s">
        <v>2</v>
      </c>
      <c r="J135" s="54">
        <v>253504102</v>
      </c>
      <c r="K135" s="47">
        <v>253504102</v>
      </c>
      <c r="L135" s="127">
        <v>1E-4</v>
      </c>
      <c r="M135" s="47">
        <f>19500316+19500316+19500315+19500315+19500315+19500315+19500316+19500316+19500316+19500316+19500316</f>
        <v>214503472</v>
      </c>
      <c r="N135" s="47">
        <f>5973+6390+6181+6389+6181.4+6390+6390+6390+6389+5407+7015+5059.2+9482.9</f>
        <v>83637.499999999985</v>
      </c>
      <c r="O135" s="141">
        <f t="shared" ref="O135:O141" si="7">K135-M135</f>
        <v>39000630</v>
      </c>
      <c r="P135" s="86" t="s">
        <v>237</v>
      </c>
      <c r="Q135" s="120" t="s">
        <v>434</v>
      </c>
      <c r="R135" s="15"/>
      <c r="S135" s="5"/>
    </row>
    <row r="136" spans="1:19" s="4" customFormat="1" ht="129.75" customHeight="1" outlineLevel="1" x14ac:dyDescent="0.25">
      <c r="A136" s="129">
        <v>85</v>
      </c>
      <c r="B136" s="192" t="s">
        <v>238</v>
      </c>
      <c r="C136" s="192" t="s">
        <v>195</v>
      </c>
      <c r="D136" s="184" t="s">
        <v>418</v>
      </c>
      <c r="E136" s="184"/>
      <c r="F136" s="184" t="s">
        <v>408</v>
      </c>
      <c r="G136" s="188" t="s">
        <v>347</v>
      </c>
      <c r="H136" s="188" t="s">
        <v>236</v>
      </c>
      <c r="I136" s="130" t="s">
        <v>2</v>
      </c>
      <c r="J136" s="54">
        <v>76200000</v>
      </c>
      <c r="K136" s="47">
        <v>76200000</v>
      </c>
      <c r="L136" s="127">
        <v>1E-4</v>
      </c>
      <c r="M136" s="47"/>
      <c r="N136" s="47">
        <f>7620+5520</f>
        <v>13140</v>
      </c>
      <c r="O136" s="141">
        <f t="shared" si="7"/>
        <v>76200000</v>
      </c>
      <c r="P136" s="86" t="s">
        <v>239</v>
      </c>
      <c r="Q136" s="120" t="s">
        <v>437</v>
      </c>
      <c r="R136" s="15"/>
      <c r="S136" s="5"/>
    </row>
    <row r="137" spans="1:19" s="4" customFormat="1" ht="108" outlineLevel="1" x14ac:dyDescent="0.25">
      <c r="A137" s="129">
        <v>86</v>
      </c>
      <c r="B137" s="192" t="s">
        <v>240</v>
      </c>
      <c r="C137" s="192" t="s">
        <v>195</v>
      </c>
      <c r="D137" s="184" t="s">
        <v>418</v>
      </c>
      <c r="E137" s="184"/>
      <c r="F137" s="184" t="s">
        <v>408</v>
      </c>
      <c r="G137" s="188" t="s">
        <v>347</v>
      </c>
      <c r="H137" s="188" t="s">
        <v>241</v>
      </c>
      <c r="I137" s="130" t="s">
        <v>2</v>
      </c>
      <c r="J137" s="54">
        <v>50613970</v>
      </c>
      <c r="K137" s="47">
        <v>50613970</v>
      </c>
      <c r="L137" s="127">
        <v>1E-4</v>
      </c>
      <c r="M137" s="47"/>
      <c r="N137" s="47">
        <f>8800+8800</f>
        <v>17600</v>
      </c>
      <c r="O137" s="141">
        <f t="shared" si="7"/>
        <v>50613970</v>
      </c>
      <c r="P137" s="86" t="s">
        <v>242</v>
      </c>
      <c r="Q137" s="120" t="s">
        <v>437</v>
      </c>
      <c r="R137" s="15"/>
      <c r="S137" s="5"/>
    </row>
    <row r="138" spans="1:19" s="4" customFormat="1" ht="108" outlineLevel="1" x14ac:dyDescent="0.25">
      <c r="A138" s="129">
        <v>87</v>
      </c>
      <c r="B138" s="192" t="s">
        <v>243</v>
      </c>
      <c r="C138" s="192" t="s">
        <v>195</v>
      </c>
      <c r="D138" s="184" t="s">
        <v>418</v>
      </c>
      <c r="E138" s="184"/>
      <c r="F138" s="184" t="s">
        <v>408</v>
      </c>
      <c r="G138" s="188" t="s">
        <v>347</v>
      </c>
      <c r="H138" s="188" t="s">
        <v>244</v>
      </c>
      <c r="I138" s="130" t="s">
        <v>2</v>
      </c>
      <c r="J138" s="54">
        <v>184740000</v>
      </c>
      <c r="K138" s="47">
        <v>184740000</v>
      </c>
      <c r="L138" s="127">
        <v>1E-4</v>
      </c>
      <c r="M138" s="47"/>
      <c r="N138" s="47">
        <f>31700</f>
        <v>31700</v>
      </c>
      <c r="O138" s="141">
        <f t="shared" si="7"/>
        <v>184740000</v>
      </c>
      <c r="P138" s="86" t="s">
        <v>245</v>
      </c>
      <c r="Q138" s="120" t="s">
        <v>504</v>
      </c>
      <c r="R138" s="15"/>
      <c r="S138" s="5"/>
    </row>
    <row r="139" spans="1:19" s="4" customFormat="1" ht="108" outlineLevel="1" x14ac:dyDescent="0.25">
      <c r="A139" s="129">
        <v>88</v>
      </c>
      <c r="B139" s="192" t="s">
        <v>246</v>
      </c>
      <c r="C139" s="192" t="s">
        <v>195</v>
      </c>
      <c r="D139" s="184" t="s">
        <v>418</v>
      </c>
      <c r="E139" s="184"/>
      <c r="F139" s="184" t="s">
        <v>408</v>
      </c>
      <c r="G139" s="188" t="s">
        <v>347</v>
      </c>
      <c r="H139" s="188" t="s">
        <v>247</v>
      </c>
      <c r="I139" s="130" t="s">
        <v>2</v>
      </c>
      <c r="J139" s="54">
        <v>219559596</v>
      </c>
      <c r="K139" s="47">
        <v>219559596</v>
      </c>
      <c r="L139" s="127">
        <v>1E-4</v>
      </c>
      <c r="M139" s="47">
        <f>16889200+16889200+185781196</f>
        <v>219559596</v>
      </c>
      <c r="N139" s="47">
        <f>5294+5294+27550+5533+1000</f>
        <v>44671</v>
      </c>
      <c r="O139" s="141">
        <f t="shared" si="7"/>
        <v>0</v>
      </c>
      <c r="P139" s="86" t="s">
        <v>405</v>
      </c>
      <c r="Q139" s="120" t="s">
        <v>502</v>
      </c>
      <c r="R139" s="15"/>
      <c r="S139" s="5"/>
    </row>
    <row r="140" spans="1:19" s="4" customFormat="1" ht="108" outlineLevel="1" x14ac:dyDescent="0.25">
      <c r="A140" s="129">
        <v>89</v>
      </c>
      <c r="B140" s="192" t="s">
        <v>248</v>
      </c>
      <c r="C140" s="192" t="s">
        <v>195</v>
      </c>
      <c r="D140" s="184" t="s">
        <v>418</v>
      </c>
      <c r="E140" s="184"/>
      <c r="F140" s="184" t="s">
        <v>408</v>
      </c>
      <c r="G140" s="188" t="s">
        <v>347</v>
      </c>
      <c r="H140" s="188" t="s">
        <v>244</v>
      </c>
      <c r="I140" s="130" t="s">
        <v>2</v>
      </c>
      <c r="J140" s="54">
        <v>29081500</v>
      </c>
      <c r="K140" s="47">
        <v>29081500</v>
      </c>
      <c r="L140" s="127">
        <v>1E-4</v>
      </c>
      <c r="M140" s="47"/>
      <c r="N140" s="47">
        <f>1000+4000+3000+1000+1000</f>
        <v>10000</v>
      </c>
      <c r="O140" s="141">
        <f t="shared" si="7"/>
        <v>29081500</v>
      </c>
      <c r="P140" s="86" t="s">
        <v>249</v>
      </c>
      <c r="Q140" s="120" t="s">
        <v>437</v>
      </c>
      <c r="R140" s="15"/>
      <c r="S140" s="5"/>
    </row>
    <row r="141" spans="1:19" s="4" customFormat="1" ht="123" customHeight="1" outlineLevel="1" thickBot="1" x14ac:dyDescent="0.3">
      <c r="A141" s="129">
        <v>90</v>
      </c>
      <c r="B141" s="192" t="s">
        <v>250</v>
      </c>
      <c r="C141" s="192" t="s">
        <v>195</v>
      </c>
      <c r="D141" s="184" t="s">
        <v>418</v>
      </c>
      <c r="E141" s="184"/>
      <c r="F141" s="184" t="s">
        <v>408</v>
      </c>
      <c r="G141" s="188" t="s">
        <v>347</v>
      </c>
      <c r="H141" s="188" t="s">
        <v>251</v>
      </c>
      <c r="I141" s="130" t="s">
        <v>2</v>
      </c>
      <c r="J141" s="54">
        <v>12060940</v>
      </c>
      <c r="K141" s="62">
        <v>12060940</v>
      </c>
      <c r="L141" s="127">
        <v>1E-4</v>
      </c>
      <c r="M141" s="47"/>
      <c r="N141" s="47">
        <v>2170</v>
      </c>
      <c r="O141" s="141">
        <f t="shared" si="7"/>
        <v>12060940</v>
      </c>
      <c r="P141" s="86" t="s">
        <v>252</v>
      </c>
      <c r="Q141" s="120" t="s">
        <v>437</v>
      </c>
      <c r="R141" s="15"/>
      <c r="S141" s="5"/>
    </row>
    <row r="142" spans="1:19" s="9" customFormat="1" ht="30" customHeight="1" x14ac:dyDescent="0.25">
      <c r="A142" s="238" t="s">
        <v>404</v>
      </c>
      <c r="B142" s="239"/>
      <c r="C142" s="240"/>
      <c r="D142" s="110"/>
      <c r="E142" s="110"/>
      <c r="F142" s="63"/>
      <c r="G142" s="63"/>
      <c r="H142" s="63"/>
      <c r="I142" s="115" t="s">
        <v>27</v>
      </c>
      <c r="J142" s="10">
        <f>SUMIF($I$121:$I$141,I142,$J$121:$J$141)</f>
        <v>0</v>
      </c>
      <c r="K142" s="13">
        <f>SUMIF($I$111:$I$141,I142,$K$111:$K$141)</f>
        <v>0</v>
      </c>
      <c r="L142" s="13"/>
      <c r="M142" s="14">
        <f>SUMIF($I$121:$I$141,I142,$M$121:$M$141)</f>
        <v>0</v>
      </c>
      <c r="N142" s="13">
        <f>SUMIF($I$111:$I$141,I142,$N$111:$N$141)</f>
        <v>0</v>
      </c>
      <c r="O142" s="13">
        <f>SUMIF($I$111:$I$141,I142,$O$111:$O$141)</f>
        <v>0</v>
      </c>
      <c r="P142" s="87"/>
      <c r="Q142" s="122"/>
      <c r="R142" s="8"/>
      <c r="S142" s="5"/>
    </row>
    <row r="143" spans="1:19" s="9" customFormat="1" ht="27" customHeight="1" x14ac:dyDescent="0.25">
      <c r="A143" s="238"/>
      <c r="B143" s="239"/>
      <c r="C143" s="240"/>
      <c r="D143" s="33"/>
      <c r="E143" s="33"/>
      <c r="F143" s="42"/>
      <c r="G143" s="42"/>
      <c r="H143" s="42"/>
      <c r="I143" s="116" t="s">
        <v>2</v>
      </c>
      <c r="J143" s="11">
        <f>SUMIF($I$121:$I$141,I143,$J$121:$J$141)</f>
        <v>2011462986</v>
      </c>
      <c r="K143" s="11">
        <f>SUMIF($I$121:$I$141,I143,$K$121:$K$141)</f>
        <v>2011462986</v>
      </c>
      <c r="L143" s="11"/>
      <c r="M143" s="11">
        <f>SUMIF($I$121:$I$141,I143,$M$121:$M$141)</f>
        <v>774186277.20000005</v>
      </c>
      <c r="N143" s="11">
        <f>SUMIF($I$121:$I$141,I143,$N$121:$N$141)</f>
        <v>542405.19999999995</v>
      </c>
      <c r="O143" s="11">
        <f>SUMIF($I$121:$I$141,I143,$O$121:$O$141)</f>
        <v>1238706431</v>
      </c>
      <c r="P143" s="88"/>
      <c r="Q143" s="117"/>
      <c r="R143" s="8"/>
      <c r="S143" s="5"/>
    </row>
    <row r="144" spans="1:19" s="9" customFormat="1" ht="28.5" customHeight="1" x14ac:dyDescent="0.25">
      <c r="A144" s="238"/>
      <c r="B144" s="239"/>
      <c r="C144" s="240"/>
      <c r="D144" s="33"/>
      <c r="E144" s="33"/>
      <c r="F144" s="42"/>
      <c r="G144" s="42"/>
      <c r="H144" s="42"/>
      <c r="I144" s="116" t="s">
        <v>49</v>
      </c>
      <c r="J144" s="11">
        <f>SUMIF($I$121:$I$141,I144,$J$121:$J$141)</f>
        <v>0</v>
      </c>
      <c r="K144" s="11">
        <f>SUMIF($I$111:$I$141,I144,$K$111:$K$141)</f>
        <v>0</v>
      </c>
      <c r="L144" s="11"/>
      <c r="M144" s="11">
        <f>SUMIF($I$111:$I$141,I144,$M$111:$M$141)</f>
        <v>0</v>
      </c>
      <c r="N144" s="11">
        <f>SUMIF($I$111:$I$141,I144,$N$111:$N$141)</f>
        <v>0</v>
      </c>
      <c r="O144" s="11">
        <f>SUMIF($I$111:$I$141,I144,$O$111:$O$141)</f>
        <v>0</v>
      </c>
      <c r="P144" s="88"/>
      <c r="Q144" s="117"/>
      <c r="R144" s="8"/>
      <c r="S144" s="5"/>
    </row>
    <row r="145" spans="1:19" s="9" customFormat="1" ht="30" customHeight="1" thickBot="1" x14ac:dyDescent="0.3">
      <c r="A145" s="241"/>
      <c r="B145" s="242"/>
      <c r="C145" s="243"/>
      <c r="D145" s="107"/>
      <c r="E145" s="107"/>
      <c r="F145" s="45"/>
      <c r="G145" s="45"/>
      <c r="H145" s="45"/>
      <c r="I145" s="104" t="s">
        <v>69</v>
      </c>
      <c r="J145" s="12">
        <f>SUMIF($I$121:$I$141,I145,$J$121:$J$141)</f>
        <v>0</v>
      </c>
      <c r="K145" s="12">
        <f>SUMIF($I$111:$I$141,I145,$K$111:$K$141)</f>
        <v>0</v>
      </c>
      <c r="L145" s="12"/>
      <c r="M145" s="12">
        <f>SUMIF($I$111:$I$141,I145,$M$111:$M$141)</f>
        <v>0</v>
      </c>
      <c r="N145" s="12">
        <f>SUMIF($I$111:$I$141,I145,$N$111:$N$141)</f>
        <v>0</v>
      </c>
      <c r="O145" s="12">
        <f>SUMIF($I$111:$I$141,I145,$O$111:$O$141)</f>
        <v>0</v>
      </c>
      <c r="P145" s="90"/>
      <c r="Q145" s="119"/>
      <c r="R145" s="8"/>
      <c r="S145" s="5"/>
    </row>
    <row r="146" spans="1:19" s="9" customFormat="1" ht="15.75" customHeight="1" x14ac:dyDescent="0.25">
      <c r="A146" s="244" t="s">
        <v>253</v>
      </c>
      <c r="B146" s="245"/>
      <c r="C146" s="246"/>
      <c r="D146" s="110"/>
      <c r="E146" s="110"/>
      <c r="F146" s="63"/>
      <c r="G146" s="63"/>
      <c r="H146" s="63"/>
      <c r="I146" s="115" t="s">
        <v>27</v>
      </c>
      <c r="J146" s="14">
        <f>J51+J62+J73+J107+J117+J142</f>
        <v>340755742.28000003</v>
      </c>
      <c r="K146" s="14">
        <f>K51+K62+K73+K107+K117+K142</f>
        <v>144960529.04000002</v>
      </c>
      <c r="L146" s="14">
        <f>L51+L62+L73+L107+L117+L142</f>
        <v>0</v>
      </c>
      <c r="M146" s="14">
        <f>M51+M62+M73+M107+M117+M142</f>
        <v>57735985.294390991</v>
      </c>
      <c r="N146" s="14">
        <f>N51+N62+N73+N107+N117+N142</f>
        <v>22191558.302872021</v>
      </c>
      <c r="O146" s="14">
        <f>O51+O62+O73+O107+O117+O142</f>
        <v>87986112.175609007</v>
      </c>
      <c r="P146" s="92"/>
      <c r="Q146" s="122"/>
      <c r="R146" s="8"/>
      <c r="S146" s="5"/>
    </row>
    <row r="147" spans="1:19" s="9" customFormat="1" ht="17.25" customHeight="1" x14ac:dyDescent="0.25">
      <c r="A147" s="238"/>
      <c r="B147" s="239"/>
      <c r="C147" s="240"/>
      <c r="D147" s="33"/>
      <c r="E147" s="33"/>
      <c r="F147" s="42"/>
      <c r="G147" s="42"/>
      <c r="H147" s="42"/>
      <c r="I147" s="116" t="s">
        <v>2</v>
      </c>
      <c r="J147" s="14">
        <f>J52+J63+J74+J108+J118+J143</f>
        <v>185559253304.10001</v>
      </c>
      <c r="K147" s="14">
        <f>K52+K63+K74+K108+K118+K143</f>
        <v>204046786510.81</v>
      </c>
      <c r="L147" s="14">
        <f>L52+L63+L74+L108+L118+L143</f>
        <v>0</v>
      </c>
      <c r="M147" s="14">
        <f>M52+M63+M74+M108+M118+M143</f>
        <v>103820492138.0847</v>
      </c>
      <c r="N147" s="14">
        <f>N52+N63+N74+N108+N118+N143</f>
        <v>52233628362.067268</v>
      </c>
      <c r="O147" s="14">
        <f>O52+O63+O74+O108+O118+O143</f>
        <v>99977724094.925278</v>
      </c>
      <c r="P147" s="88"/>
      <c r="Q147" s="117"/>
      <c r="R147" s="8"/>
      <c r="S147" s="5"/>
    </row>
    <row r="148" spans="1:19" s="9" customFormat="1" ht="15" customHeight="1" x14ac:dyDescent="0.25">
      <c r="A148" s="238"/>
      <c r="B148" s="239"/>
      <c r="C148" s="240"/>
      <c r="D148" s="33"/>
      <c r="E148" s="33"/>
      <c r="F148" s="42"/>
      <c r="G148" s="42"/>
      <c r="H148" s="42"/>
      <c r="I148" s="116" t="s">
        <v>49</v>
      </c>
      <c r="J148" s="14">
        <f>J53+J64+J75+J109+J119+J144</f>
        <v>521140620.31999999</v>
      </c>
      <c r="K148" s="14">
        <f>K53+K64+K75+K109+K119+K144</f>
        <v>361925758.49000001</v>
      </c>
      <c r="L148" s="14">
        <f>L53+L64+L75+L109+L119+L144</f>
        <v>0</v>
      </c>
      <c r="M148" s="14">
        <f>M53+M64+M75+M109+M119+M144</f>
        <v>139147534.30791876</v>
      </c>
      <c r="N148" s="14">
        <f>N53+N64+N75+N109+N119+N144</f>
        <v>75189913.743387729</v>
      </c>
      <c r="O148" s="14">
        <f>O53+O64+O75+O109+O119+O144</f>
        <v>222778224.18208128</v>
      </c>
      <c r="P148" s="88"/>
      <c r="Q148" s="117"/>
      <c r="R148" s="8"/>
      <c r="S148" s="5"/>
    </row>
    <row r="149" spans="1:19" s="9" customFormat="1" ht="25.5" customHeight="1" x14ac:dyDescent="0.25">
      <c r="A149" s="238"/>
      <c r="B149" s="239"/>
      <c r="C149" s="240"/>
      <c r="D149" s="33"/>
      <c r="E149" s="33"/>
      <c r="F149" s="42"/>
      <c r="G149" s="42"/>
      <c r="H149" s="42"/>
      <c r="I149" s="116" t="s">
        <v>69</v>
      </c>
      <c r="J149" s="14">
        <f>J54+J65+J76+J110+J120+J145</f>
        <v>31777311969</v>
      </c>
      <c r="K149" s="14">
        <f>K54+K65+K76+K110+K120+K145</f>
        <v>31859249643</v>
      </c>
      <c r="L149" s="14">
        <f>L54+L65+L76+L110+L120+L145</f>
        <v>0</v>
      </c>
      <c r="M149" s="14">
        <f>M54+M65+M76+M110+M120+M145</f>
        <v>12885773631.690212</v>
      </c>
      <c r="N149" s="14">
        <f>N54+N65+N76+N110+N120+N145</f>
        <v>3662673025.1858797</v>
      </c>
      <c r="O149" s="14">
        <f>O54+O65+O76+O110+O120+O145</f>
        <v>18973476011.309788</v>
      </c>
      <c r="P149" s="89"/>
      <c r="Q149" s="118"/>
      <c r="R149" s="8"/>
      <c r="S149" s="5"/>
    </row>
    <row r="150" spans="1:19" s="9" customFormat="1" ht="15" customHeight="1" thickBot="1" x14ac:dyDescent="0.3">
      <c r="A150" s="241"/>
      <c r="B150" s="242"/>
      <c r="C150" s="243"/>
      <c r="D150" s="107"/>
      <c r="E150" s="107"/>
      <c r="F150" s="45"/>
      <c r="G150" s="45"/>
      <c r="H150" s="45"/>
      <c r="I150" s="116" t="s">
        <v>59</v>
      </c>
      <c r="J150" s="14">
        <f>J55</f>
        <v>24086688</v>
      </c>
      <c r="K150" s="14">
        <f>K55</f>
        <v>18384172.012149811</v>
      </c>
      <c r="L150" s="14">
        <f>L55</f>
        <v>0</v>
      </c>
      <c r="M150" s="14">
        <f>M55</f>
        <v>4824455.8054339811</v>
      </c>
      <c r="N150" s="14">
        <f>N55</f>
        <v>3135419.4621466845</v>
      </c>
      <c r="O150" s="14">
        <f>O55</f>
        <v>13559716.206715828</v>
      </c>
      <c r="P150" s="89"/>
      <c r="Q150" s="118"/>
      <c r="R150" s="8"/>
      <c r="S150" s="5"/>
    </row>
    <row r="151" spans="1:19" ht="51" customHeight="1" thickBot="1" x14ac:dyDescent="0.3">
      <c r="A151" s="64">
        <v>95</v>
      </c>
      <c r="B151" s="65" t="s">
        <v>254</v>
      </c>
      <c r="C151" s="66" t="s">
        <v>255</v>
      </c>
      <c r="D151" s="194" t="s">
        <v>418</v>
      </c>
      <c r="E151" s="194"/>
      <c r="F151" s="194" t="s">
        <v>408</v>
      </c>
      <c r="G151" s="194" t="s">
        <v>348</v>
      </c>
      <c r="H151" s="194" t="s">
        <v>256</v>
      </c>
      <c r="I151" s="66" t="s">
        <v>2</v>
      </c>
      <c r="J151" s="67">
        <f>834800635300+144000000000+32000000000+132000000000+3500000000+14000000000+2900000000+4000000000</f>
        <v>1167200635300</v>
      </c>
      <c r="K151" s="68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L151" s="83">
        <v>1E-4</v>
      </c>
      <c r="M151" s="68"/>
      <c r="N151" s="68"/>
      <c r="O151" s="69">
        <f>K151-M151</f>
        <v>1161789822801.3999</v>
      </c>
      <c r="P151" s="93" t="s">
        <v>73</v>
      </c>
      <c r="Q151" s="123"/>
      <c r="S151" s="9"/>
    </row>
    <row r="152" spans="1:19" ht="17.25" x14ac:dyDescent="0.3">
      <c r="B152" s="70" t="s">
        <v>2</v>
      </c>
      <c r="C152" s="71"/>
      <c r="I152" s="73"/>
      <c r="J152" s="16"/>
      <c r="K152" s="16"/>
      <c r="O152" s="75"/>
      <c r="P152" s="18"/>
      <c r="Q152" s="18"/>
    </row>
    <row r="153" spans="1:19" ht="17.25" x14ac:dyDescent="0.3">
      <c r="B153" s="70" t="s">
        <v>49</v>
      </c>
      <c r="C153" s="71">
        <v>393.26</v>
      </c>
      <c r="J153" s="16"/>
      <c r="K153" s="17"/>
      <c r="L153" s="76"/>
      <c r="N153" s="16"/>
      <c r="O153" s="77"/>
      <c r="P153" s="78"/>
      <c r="Q153" s="78"/>
    </row>
    <row r="154" spans="1:19" ht="17.25" x14ac:dyDescent="0.3">
      <c r="B154" s="70" t="s">
        <v>69</v>
      </c>
      <c r="C154" s="79">
        <v>2.6244999999999998</v>
      </c>
      <c r="K154" s="16"/>
      <c r="N154" s="16"/>
      <c r="O154" s="19"/>
      <c r="P154" s="80"/>
      <c r="Q154" s="80"/>
    </row>
    <row r="155" spans="1:19" ht="17.25" x14ac:dyDescent="0.3">
      <c r="B155" s="70" t="s">
        <v>27</v>
      </c>
      <c r="C155" s="71">
        <v>412.22</v>
      </c>
      <c r="K155" s="17"/>
      <c r="N155" s="16"/>
      <c r="O155" s="17"/>
      <c r="P155" s="80"/>
      <c r="Q155" s="80"/>
    </row>
    <row r="156" spans="1:19" ht="17.25" x14ac:dyDescent="0.3">
      <c r="B156" s="70" t="s">
        <v>59</v>
      </c>
      <c r="C156" s="71">
        <v>516.67999999999995</v>
      </c>
      <c r="N156" s="18"/>
      <c r="O156" s="16"/>
      <c r="P156" s="5"/>
      <c r="Q156" s="5"/>
    </row>
    <row r="157" spans="1:19" x14ac:dyDescent="0.25">
      <c r="P157" s="5"/>
      <c r="Q157" s="5"/>
    </row>
    <row r="158" spans="1:19" x14ac:dyDescent="0.25">
      <c r="O158" s="19"/>
    </row>
    <row r="159" spans="1:19" x14ac:dyDescent="0.25">
      <c r="K159" s="19"/>
      <c r="N159" s="16"/>
      <c r="O159" s="19"/>
    </row>
    <row r="160" spans="1:19" x14ac:dyDescent="0.25">
      <c r="O160" s="16"/>
    </row>
    <row r="161" spans="2:19" x14ac:dyDescent="0.25">
      <c r="O161" s="16"/>
    </row>
    <row r="165" spans="2:19" x14ac:dyDescent="0.25">
      <c r="O165" s="16"/>
    </row>
    <row r="166" spans="2:19" s="17" customFormat="1" x14ac:dyDescent="0.25">
      <c r="B166" s="20"/>
      <c r="C166" s="6"/>
      <c r="D166" s="6"/>
      <c r="E166" s="6"/>
      <c r="F166" s="6"/>
      <c r="G166" s="72"/>
      <c r="H166" s="6"/>
      <c r="I166" s="6"/>
      <c r="J166" s="6"/>
      <c r="K166" s="6"/>
      <c r="L166" s="74"/>
      <c r="M166" s="6"/>
      <c r="N166" s="6"/>
      <c r="O166" s="16"/>
      <c r="P166" s="6"/>
      <c r="Q166" s="6"/>
      <c r="R166" s="5"/>
      <c r="S166" s="6"/>
    </row>
    <row r="167" spans="2:19" x14ac:dyDescent="0.25">
      <c r="S167" s="17"/>
    </row>
  </sheetData>
  <sheetProtection formatCells="0" formatColumns="0" formatRows="0"/>
  <protectedRanges>
    <protectedRange password="C670" sqref="P84:Q95 K84:O95 A78:J81 A84:J95 A69:Q72 K78:Q81" name="Maria"/>
    <protectedRange algorithmName="SHA-512" hashValue="R0m7mG/o0t2+7dbQTzM5iQkFX2amgAS+iAGJudQnnweh07e6LDAbSuhvcwbzcp7drP+HIG4d/wHfMCXiBXmkow==" saltValue="hXh6Ce3lteSj/cvmR3BSBw==" spinCount="100000" sqref="P102:Q104 P151:Q151 P121:Q141 A121:N141 A102:D104 H102:N104 E102:G102 E104:G104 F103:G103 A151:N151" name="Narine"/>
    <protectedRange algorithmName="SHA-512" hashValue="vw/tfZfxCvSE0U6Hm2G3C/Aj3bUp3KdD+IHhHinfC+crRPhv3Uapv1zQ/dMQFE5wwqt30lhFdhsH6enTApEPhg==" saltValue="AJSG7Dc7ySbRZF9wPd6fsA==" spinCount="100000" sqref="P104:Q106 A66:J67 A104:N106 K67:N67 K66:M66 P66:Q67" name="Nara"/>
    <protectedRange algorithmName="SHA-512" hashValue="2hnhy85Hze6pXZTujHMyiGA7lE9yapdzAMEgpTAQUbEvX5wkbgVJAYj8efzABUddHb+HHBXm+QO7FFQ7DdcL0Q==" saltValue="/3Se5MhqYIbXZuII16lL6A==" spinCount="100000" sqref="A111:J116 A77:Q77 K111:Q116" name="Nona"/>
    <protectedRange algorithmName="SHA-512" hashValue="vw/tfZfxCvSE0U6Hm2G3C/Aj3bUp3KdD+IHhHinfC+crRPhv3Uapv1zQ/dMQFE5wwqt30lhFdhsH6enTApEPhg==" saltValue="AJSG7Dc7ySbRZF9wPd6fsA==" spinCount="100000" sqref="N66" name="Nara_1"/>
  </protectedRanges>
  <mergeCells count="124">
    <mergeCell ref="A142:C145"/>
    <mergeCell ref="A146:C150"/>
    <mergeCell ref="P97:P98"/>
    <mergeCell ref="A107:C110"/>
    <mergeCell ref="C112:C114"/>
    <mergeCell ref="A117:C120"/>
    <mergeCell ref="A97:A98"/>
    <mergeCell ref="B97:B98"/>
    <mergeCell ref="C97:C98"/>
    <mergeCell ref="D97:D98"/>
    <mergeCell ref="G97:G98"/>
    <mergeCell ref="H97:H98"/>
    <mergeCell ref="P85:P87"/>
    <mergeCell ref="A90:A91"/>
    <mergeCell ref="B90:B91"/>
    <mergeCell ref="C90:C91"/>
    <mergeCell ref="D90:D91"/>
    <mergeCell ref="G90:G91"/>
    <mergeCell ref="P90:P91"/>
    <mergeCell ref="A62:C65"/>
    <mergeCell ref="A73:C76"/>
    <mergeCell ref="A80:A81"/>
    <mergeCell ref="B80:B81"/>
    <mergeCell ref="C80:C81"/>
    <mergeCell ref="H80:H81"/>
    <mergeCell ref="D49:D50"/>
    <mergeCell ref="E49:E50"/>
    <mergeCell ref="A51:C55"/>
    <mergeCell ref="P57:P58"/>
    <mergeCell ref="A60:A61"/>
    <mergeCell ref="C60:C61"/>
    <mergeCell ref="P60:P61"/>
    <mergeCell ref="P36:P38"/>
    <mergeCell ref="B41:B42"/>
    <mergeCell ref="E41:E42"/>
    <mergeCell ref="F41:F42"/>
    <mergeCell ref="A47:A48"/>
    <mergeCell ref="C47:C48"/>
    <mergeCell ref="E47:E48"/>
    <mergeCell ref="G47:G48"/>
    <mergeCell ref="H47:H48"/>
    <mergeCell ref="P47:P48"/>
    <mergeCell ref="H33:H34"/>
    <mergeCell ref="A36:A38"/>
    <mergeCell ref="C36:C38"/>
    <mergeCell ref="D36:D38"/>
    <mergeCell ref="E36:E38"/>
    <mergeCell ref="G36:G38"/>
    <mergeCell ref="A33:A34"/>
    <mergeCell ref="B33:B34"/>
    <mergeCell ref="C33:C34"/>
    <mergeCell ref="D33:D34"/>
    <mergeCell ref="E33:E34"/>
    <mergeCell ref="G33:G34"/>
    <mergeCell ref="C29:C30"/>
    <mergeCell ref="D29:D30"/>
    <mergeCell ref="E29:E30"/>
    <mergeCell ref="C31:C32"/>
    <mergeCell ref="D31:D32"/>
    <mergeCell ref="E31:E32"/>
    <mergeCell ref="H25:H26"/>
    <mergeCell ref="P25:P26"/>
    <mergeCell ref="A27:A28"/>
    <mergeCell ref="G27:G28"/>
    <mergeCell ref="H27:H28"/>
    <mergeCell ref="P27:P28"/>
    <mergeCell ref="C23:C24"/>
    <mergeCell ref="D23:D24"/>
    <mergeCell ref="E23:E24"/>
    <mergeCell ref="H23:H24"/>
    <mergeCell ref="P23:P24"/>
    <mergeCell ref="A25:A26"/>
    <mergeCell ref="C25:C28"/>
    <mergeCell ref="D25:D28"/>
    <mergeCell ref="E25:E28"/>
    <mergeCell ref="G25:G26"/>
    <mergeCell ref="P19:P20"/>
    <mergeCell ref="A21:A22"/>
    <mergeCell ref="G21:G22"/>
    <mergeCell ref="H21:H22"/>
    <mergeCell ref="P21:P22"/>
    <mergeCell ref="A19:A20"/>
    <mergeCell ref="C19:C22"/>
    <mergeCell ref="D19:D22"/>
    <mergeCell ref="E19:E22"/>
    <mergeCell ref="G19:G20"/>
    <mergeCell ref="H19:H20"/>
    <mergeCell ref="P15:P16"/>
    <mergeCell ref="A17:A18"/>
    <mergeCell ref="C17:C18"/>
    <mergeCell ref="D17:D18"/>
    <mergeCell ref="E17:E18"/>
    <mergeCell ref="G17:G18"/>
    <mergeCell ref="H17:H18"/>
    <mergeCell ref="P17:P18"/>
    <mergeCell ref="A15:A16"/>
    <mergeCell ref="C15:C16"/>
    <mergeCell ref="D15:D16"/>
    <mergeCell ref="E15:E16"/>
    <mergeCell ref="G15:G16"/>
    <mergeCell ref="H15:H16"/>
    <mergeCell ref="A13:A14"/>
    <mergeCell ref="C13:C14"/>
    <mergeCell ref="E13:E14"/>
    <mergeCell ref="G13:G14"/>
    <mergeCell ref="H13:H14"/>
    <mergeCell ref="P13:P14"/>
    <mergeCell ref="P9:P10"/>
    <mergeCell ref="A11:A12"/>
    <mergeCell ref="C11:C12"/>
    <mergeCell ref="E11:E12"/>
    <mergeCell ref="G11:G12"/>
    <mergeCell ref="H11:H12"/>
    <mergeCell ref="P11:P12"/>
    <mergeCell ref="A1:P1"/>
    <mergeCell ref="A2:P2"/>
    <mergeCell ref="A5:A6"/>
    <mergeCell ref="E5:E6"/>
    <mergeCell ref="G5:G6"/>
    <mergeCell ref="A9:A10"/>
    <mergeCell ref="C9:C10"/>
    <mergeCell ref="E9:E10"/>
    <mergeCell ref="G9:G10"/>
    <mergeCell ref="H9:H10"/>
  </mergeCells>
  <conditionalFormatting sqref="K5">
    <cfRule type="cellIs" dxfId="5" priority="6" operator="notEqual">
      <formula>#REF!</formula>
    </cfRule>
  </conditionalFormatting>
  <conditionalFormatting sqref="K99 K6:K35 K37:K40 K47:K49 K43:K45">
    <cfRule type="cellIs" dxfId="4" priority="5" operator="notEqual">
      <formula>#REF!</formula>
    </cfRule>
  </conditionalFormatting>
  <conditionalFormatting sqref="J21">
    <cfRule type="cellIs" dxfId="3" priority="4" operator="notEqual">
      <formula>#REF!</formula>
    </cfRule>
  </conditionalFormatting>
  <conditionalFormatting sqref="K50">
    <cfRule type="cellIs" dxfId="2" priority="3" operator="notEqual">
      <formula>#REF!</formula>
    </cfRule>
  </conditionalFormatting>
  <conditionalFormatting sqref="K83">
    <cfRule type="cellIs" dxfId="1" priority="2" operator="notEqual">
      <formula>#REF!</formula>
    </cfRule>
  </conditionalFormatting>
  <conditionalFormatting sqref="K100:K101">
    <cfRule type="cellIs" dxfId="0" priority="1" operator="notEqual">
      <formula>#REF!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32"/>
  <sheetViews>
    <sheetView zoomScaleNormal="100" workbookViewId="0">
      <selection activeCell="D12" sqref="D12"/>
    </sheetView>
  </sheetViews>
  <sheetFormatPr defaultColWidth="25.85546875" defaultRowHeight="15.75" x14ac:dyDescent="0.25"/>
  <cols>
    <col min="1" max="1" width="35.85546875" style="199" customWidth="1"/>
    <col min="2" max="2" width="35.140625" style="199" customWidth="1"/>
    <col min="3" max="3" width="35.85546875" style="199" customWidth="1"/>
    <col min="4" max="4" width="32.42578125" style="199" customWidth="1"/>
    <col min="5" max="5" width="28.85546875" style="199" customWidth="1"/>
    <col min="6" max="6" width="22.28515625" style="199" customWidth="1"/>
    <col min="7" max="16384" width="25.85546875" style="199"/>
  </cols>
  <sheetData>
    <row r="1" spans="1:8" s="198" customFormat="1" x14ac:dyDescent="0.25">
      <c r="A1" s="274" t="s">
        <v>261</v>
      </c>
      <c r="B1" s="274"/>
      <c r="C1" s="274"/>
      <c r="D1" s="274"/>
      <c r="E1" s="274"/>
    </row>
    <row r="2" spans="1:8" s="198" customFormat="1" ht="61.5" customHeight="1" x14ac:dyDescent="0.25">
      <c r="A2" s="274" t="s">
        <v>507</v>
      </c>
      <c r="B2" s="274"/>
      <c r="C2" s="274"/>
      <c r="D2" s="274"/>
      <c r="E2" s="274"/>
    </row>
    <row r="4" spans="1:8" ht="16.5" thickBot="1" x14ac:dyDescent="0.3"/>
    <row r="5" spans="1:8" s="198" customFormat="1" ht="51.75" x14ac:dyDescent="0.25">
      <c r="A5" s="200" t="s">
        <v>262</v>
      </c>
      <c r="B5" s="201" t="s">
        <v>263</v>
      </c>
      <c r="C5" s="201" t="s">
        <v>264</v>
      </c>
      <c r="D5" s="201" t="s">
        <v>265</v>
      </c>
      <c r="E5" s="202" t="s">
        <v>273</v>
      </c>
    </row>
    <row r="6" spans="1:8" ht="34.5" x14ac:dyDescent="0.25">
      <c r="A6" s="203" t="s">
        <v>355</v>
      </c>
      <c r="B6" s="204" t="s">
        <v>266</v>
      </c>
      <c r="C6" s="204" t="s">
        <v>361</v>
      </c>
      <c r="D6" s="205">
        <v>139373675</v>
      </c>
      <c r="E6" s="205">
        <v>95099304.100000039</v>
      </c>
      <c r="G6" s="206"/>
      <c r="H6" s="206"/>
    </row>
    <row r="7" spans="1:8" ht="34.5" x14ac:dyDescent="0.25">
      <c r="A7" s="203" t="s">
        <v>354</v>
      </c>
      <c r="B7" s="204" t="s">
        <v>349</v>
      </c>
      <c r="C7" s="204" t="s">
        <v>360</v>
      </c>
      <c r="D7" s="205">
        <v>1248200000</v>
      </c>
      <c r="E7" s="205">
        <v>817788306.60000038</v>
      </c>
      <c r="G7" s="206"/>
      <c r="H7" s="206"/>
    </row>
    <row r="8" spans="1:8" ht="33" customHeight="1" x14ac:dyDescent="0.25">
      <c r="A8" s="203" t="s">
        <v>356</v>
      </c>
      <c r="B8" s="204" t="s">
        <v>358</v>
      </c>
      <c r="C8" s="204" t="s">
        <v>360</v>
      </c>
      <c r="D8" s="205">
        <v>900000000</v>
      </c>
      <c r="E8" s="205">
        <v>620357237.89999998</v>
      </c>
      <c r="G8" s="206"/>
      <c r="H8" s="206"/>
    </row>
    <row r="9" spans="1:8" ht="34.5" x14ac:dyDescent="0.25">
      <c r="A9" s="203" t="s">
        <v>357</v>
      </c>
      <c r="B9" s="204" t="s">
        <v>359</v>
      </c>
      <c r="C9" s="204" t="s">
        <v>361</v>
      </c>
      <c r="D9" s="205">
        <v>250000000</v>
      </c>
      <c r="E9" s="205">
        <v>207863948.19999999</v>
      </c>
      <c r="G9" s="206"/>
      <c r="H9" s="206"/>
    </row>
    <row r="10" spans="1:8" ht="34.5" x14ac:dyDescent="0.25">
      <c r="A10" s="207" t="s">
        <v>377</v>
      </c>
      <c r="B10" s="204" t="s">
        <v>266</v>
      </c>
      <c r="C10" s="204" t="s">
        <v>398</v>
      </c>
      <c r="D10" s="205">
        <v>218138000</v>
      </c>
      <c r="E10" s="205">
        <v>181781666.99999997</v>
      </c>
      <c r="G10" s="206"/>
      <c r="H10" s="206"/>
    </row>
    <row r="11" spans="1:8" ht="28.5" customHeight="1" x14ac:dyDescent="0.25">
      <c r="A11" s="207" t="s">
        <v>371</v>
      </c>
      <c r="B11" s="204" t="s">
        <v>266</v>
      </c>
      <c r="C11" s="204" t="s">
        <v>399</v>
      </c>
      <c r="D11" s="205">
        <v>692955973</v>
      </c>
      <c r="E11" s="205">
        <v>519716979</v>
      </c>
      <c r="G11" s="206"/>
      <c r="H11" s="206"/>
    </row>
    <row r="12" spans="1:8" ht="36.75" customHeight="1" x14ac:dyDescent="0.25">
      <c r="A12" s="203" t="s">
        <v>400</v>
      </c>
      <c r="B12" s="204" t="s">
        <v>266</v>
      </c>
      <c r="C12" s="204" t="s">
        <v>401</v>
      </c>
      <c r="D12" s="205">
        <v>674283500</v>
      </c>
      <c r="E12" s="205">
        <v>594956029.39999998</v>
      </c>
      <c r="G12" s="206"/>
      <c r="H12" s="206"/>
    </row>
    <row r="13" spans="1:8" ht="34.5" x14ac:dyDescent="0.25">
      <c r="A13" s="203" t="s">
        <v>350</v>
      </c>
      <c r="B13" s="204" t="s">
        <v>349</v>
      </c>
      <c r="C13" s="204" t="s">
        <v>412</v>
      </c>
      <c r="D13" s="205">
        <v>750000000</v>
      </c>
      <c r="E13" s="205">
        <v>750000000</v>
      </c>
      <c r="G13" s="206"/>
      <c r="H13" s="206"/>
    </row>
    <row r="14" spans="1:8" ht="51.75" x14ac:dyDescent="0.25">
      <c r="A14" s="203" t="s">
        <v>350</v>
      </c>
      <c r="B14" s="204" t="s">
        <v>272</v>
      </c>
      <c r="C14" s="208" t="s">
        <v>415</v>
      </c>
      <c r="D14" s="205">
        <v>150000000</v>
      </c>
      <c r="E14" s="205">
        <v>150000000</v>
      </c>
      <c r="G14" s="206"/>
      <c r="H14" s="206"/>
    </row>
    <row r="15" spans="1:8" ht="50.25" customHeight="1" x14ac:dyDescent="0.25">
      <c r="A15" s="203" t="s">
        <v>354</v>
      </c>
      <c r="B15" s="204" t="s">
        <v>266</v>
      </c>
      <c r="C15" s="208" t="s">
        <v>416</v>
      </c>
      <c r="D15" s="205">
        <v>500000000</v>
      </c>
      <c r="E15" s="205">
        <v>500000000</v>
      </c>
      <c r="G15" s="206"/>
      <c r="H15" s="206"/>
    </row>
    <row r="16" spans="1:8" ht="47.25" customHeight="1" x14ac:dyDescent="0.25">
      <c r="A16" s="203" t="s">
        <v>400</v>
      </c>
      <c r="B16" s="204" t="s">
        <v>266</v>
      </c>
      <c r="C16" s="208" t="s">
        <v>417</v>
      </c>
      <c r="D16" s="205">
        <v>1283781000</v>
      </c>
      <c r="E16" s="205">
        <v>1283781000</v>
      </c>
      <c r="G16" s="206"/>
      <c r="H16" s="206"/>
    </row>
    <row r="17" spans="1:8" ht="47.25" customHeight="1" x14ac:dyDescent="0.25">
      <c r="A17" s="203" t="s">
        <v>400</v>
      </c>
      <c r="B17" s="204" t="s">
        <v>266</v>
      </c>
      <c r="C17" s="209" t="s">
        <v>471</v>
      </c>
      <c r="D17" s="205">
        <v>362881650</v>
      </c>
      <c r="E17" s="205">
        <v>362881650</v>
      </c>
      <c r="G17" s="206"/>
      <c r="H17" s="206"/>
    </row>
    <row r="18" spans="1:8" ht="47.25" customHeight="1" x14ac:dyDescent="0.25">
      <c r="A18" s="203" t="s">
        <v>350</v>
      </c>
      <c r="B18" s="204" t="s">
        <v>349</v>
      </c>
      <c r="C18" s="209" t="s">
        <v>472</v>
      </c>
      <c r="D18" s="205">
        <v>1000000000</v>
      </c>
      <c r="E18" s="205">
        <v>1000000000</v>
      </c>
      <c r="G18" s="206"/>
      <c r="H18" s="206"/>
    </row>
    <row r="19" spans="1:8" ht="66" customHeight="1" x14ac:dyDescent="0.25">
      <c r="A19" s="203" t="s">
        <v>350</v>
      </c>
      <c r="B19" s="204" t="s">
        <v>272</v>
      </c>
      <c r="C19" s="209" t="s">
        <v>479</v>
      </c>
      <c r="D19" s="205">
        <v>150000000</v>
      </c>
      <c r="E19" s="205">
        <v>150000000</v>
      </c>
      <c r="G19" s="206"/>
      <c r="H19" s="206"/>
    </row>
    <row r="20" spans="1:8" ht="47.25" customHeight="1" x14ac:dyDescent="0.25">
      <c r="A20" s="203" t="s">
        <v>400</v>
      </c>
      <c r="B20" s="204" t="s">
        <v>266</v>
      </c>
      <c r="C20" s="209" t="s">
        <v>477</v>
      </c>
      <c r="D20" s="205">
        <v>731221200</v>
      </c>
      <c r="E20" s="205">
        <v>731221200</v>
      </c>
      <c r="G20" s="206"/>
      <c r="H20" s="206"/>
    </row>
    <row r="21" spans="1:8" ht="47.25" customHeight="1" x14ac:dyDescent="0.25">
      <c r="A21" s="203" t="s">
        <v>354</v>
      </c>
      <c r="B21" s="204" t="s">
        <v>478</v>
      </c>
      <c r="C21" s="209" t="s">
        <v>477</v>
      </c>
      <c r="D21" s="205">
        <v>375000000</v>
      </c>
      <c r="E21" s="205">
        <v>375000000</v>
      </c>
      <c r="G21" s="206"/>
      <c r="H21" s="206"/>
    </row>
    <row r="22" spans="1:8" ht="47.25" customHeight="1" x14ac:dyDescent="0.25">
      <c r="A22" s="203" t="s">
        <v>484</v>
      </c>
      <c r="B22" s="204" t="s">
        <v>359</v>
      </c>
      <c r="C22" s="209" t="s">
        <v>477</v>
      </c>
      <c r="D22" s="205">
        <v>469729975</v>
      </c>
      <c r="E22" s="205">
        <v>469729975</v>
      </c>
      <c r="G22" s="206"/>
      <c r="H22" s="206"/>
    </row>
    <row r="23" spans="1:8" ht="33" customHeight="1" thickBot="1" x14ac:dyDescent="0.3">
      <c r="A23" s="210" t="s">
        <v>267</v>
      </c>
      <c r="B23" s="211"/>
      <c r="C23" s="211"/>
      <c r="D23" s="212">
        <f>SUM(D6:D22)</f>
        <v>9895564973</v>
      </c>
      <c r="E23" s="213">
        <f>SUM(E6:E22)</f>
        <v>8810177297.2000008</v>
      </c>
      <c r="F23" s="206"/>
    </row>
    <row r="26" spans="1:8" ht="17.25" x14ac:dyDescent="0.3">
      <c r="A26" s="214"/>
      <c r="B26" s="214"/>
      <c r="C26" s="214"/>
      <c r="D26" s="214"/>
      <c r="E26" s="214"/>
      <c r="F26" s="214"/>
      <c r="G26" s="215"/>
      <c r="H26" s="215"/>
    </row>
    <row r="27" spans="1:8" ht="17.25" x14ac:dyDescent="0.3">
      <c r="A27" s="214"/>
      <c r="B27" s="214"/>
      <c r="C27" s="214"/>
      <c r="D27" s="214"/>
      <c r="E27" s="214"/>
      <c r="F27" s="214"/>
      <c r="G27" s="215"/>
      <c r="H27" s="215"/>
    </row>
    <row r="28" spans="1:8" ht="17.25" x14ac:dyDescent="0.3">
      <c r="A28" s="214"/>
      <c r="B28" s="214"/>
      <c r="C28" s="214"/>
      <c r="D28" s="214"/>
      <c r="E28" s="214"/>
      <c r="F28" s="214"/>
      <c r="G28" s="215"/>
      <c r="H28" s="215"/>
    </row>
    <row r="29" spans="1:8" ht="17.25" x14ac:dyDescent="0.3">
      <c r="A29" s="214"/>
      <c r="B29" s="214"/>
      <c r="C29" s="214"/>
      <c r="D29" s="214"/>
      <c r="E29" s="214"/>
      <c r="F29" s="214"/>
      <c r="G29" s="215"/>
      <c r="H29" s="215"/>
    </row>
    <row r="30" spans="1:8" ht="17.25" x14ac:dyDescent="0.3">
      <c r="A30" s="214"/>
      <c r="B30" s="214"/>
      <c r="C30" s="214"/>
      <c r="D30" s="214"/>
      <c r="E30" s="214"/>
      <c r="F30" s="214"/>
      <c r="G30" s="215"/>
      <c r="H30" s="215"/>
    </row>
    <row r="31" spans="1:8" ht="17.25" x14ac:dyDescent="0.3">
      <c r="A31" s="214"/>
      <c r="B31" s="214"/>
      <c r="C31" s="214"/>
      <c r="D31" s="214"/>
      <c r="E31" s="214"/>
      <c r="F31" s="214"/>
      <c r="G31" s="215"/>
      <c r="H31" s="215"/>
    </row>
    <row r="32" spans="1:8" ht="17.25" x14ac:dyDescent="0.3">
      <c r="A32" s="214"/>
      <c r="B32" s="214"/>
      <c r="C32" s="214"/>
      <c r="D32" s="214"/>
      <c r="E32" s="214"/>
      <c r="F32" s="214"/>
      <c r="G32" s="215"/>
      <c r="H32" s="215"/>
    </row>
  </sheetData>
  <mergeCells count="2">
    <mergeCell ref="A2:E2"/>
    <mergeCell ref="A1:E1"/>
  </mergeCells>
  <pageMargins left="0.7" right="0.7" top="0.75" bottom="0.75" header="0.3" footer="0.3"/>
  <pageSetup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O26"/>
  <sheetViews>
    <sheetView zoomScaleNormal="100" workbookViewId="0">
      <selection activeCell="E11" sqref="E11"/>
    </sheetView>
  </sheetViews>
  <sheetFormatPr defaultColWidth="9.140625" defaultRowHeight="13.5" x14ac:dyDescent="0.25"/>
  <cols>
    <col min="1" max="1" width="46.42578125" style="216" customWidth="1"/>
    <col min="2" max="2" width="28.7109375" style="216" customWidth="1"/>
    <col min="3" max="3" width="36.42578125" style="216" customWidth="1"/>
    <col min="4" max="4" width="20.28515625" style="216" customWidth="1"/>
    <col min="5" max="5" width="44.85546875" style="216" customWidth="1"/>
    <col min="6" max="6" width="21.7109375" style="216" customWidth="1"/>
    <col min="7" max="7" width="20.28515625" style="216" customWidth="1"/>
    <col min="8" max="8" width="20.85546875" style="217" customWidth="1"/>
    <col min="9" max="9" width="12.28515625" style="217" customWidth="1"/>
    <col min="10" max="10" width="11.85546875" style="217" customWidth="1"/>
    <col min="11" max="15" width="9.140625" style="217"/>
    <col min="16" max="16384" width="9.140625" style="216"/>
  </cols>
  <sheetData>
    <row r="1" spans="1:15" ht="9" customHeight="1" x14ac:dyDescent="0.25"/>
    <row r="2" spans="1:15" s="218" customFormat="1" ht="17.25" customHeight="1" x14ac:dyDescent="0.25">
      <c r="A2" s="279" t="s">
        <v>362</v>
      </c>
      <c r="B2" s="279"/>
      <c r="C2" s="280" t="s">
        <v>363</v>
      </c>
      <c r="D2" s="280"/>
      <c r="E2" s="280" t="s">
        <v>364</v>
      </c>
      <c r="F2" s="280"/>
      <c r="I2" s="219"/>
      <c r="J2" s="219"/>
      <c r="K2" s="219"/>
      <c r="L2" s="219"/>
      <c r="M2" s="219"/>
      <c r="N2" s="219"/>
      <c r="O2" s="219"/>
    </row>
    <row r="3" spans="1:15" ht="15" thickBot="1" x14ac:dyDescent="0.3">
      <c r="H3" s="220" t="s">
        <v>508</v>
      </c>
    </row>
    <row r="4" spans="1:15" s="224" customFormat="1" ht="22.5" customHeight="1" x14ac:dyDescent="0.25">
      <c r="A4" s="281" t="s">
        <v>365</v>
      </c>
      <c r="B4" s="282"/>
      <c r="C4" s="282" t="s">
        <v>366</v>
      </c>
      <c r="D4" s="282"/>
      <c r="E4" s="282" t="s">
        <v>367</v>
      </c>
      <c r="F4" s="282"/>
      <c r="G4" s="221">
        <f>SUM(G6:G22)</f>
        <v>9895564973</v>
      </c>
      <c r="H4" s="222">
        <f>SUM(H6:H22)</f>
        <v>8810177297.2000008</v>
      </c>
      <c r="I4" s="223"/>
      <c r="J4" s="223"/>
      <c r="K4" s="223"/>
      <c r="L4" s="223"/>
      <c r="M4" s="223"/>
      <c r="N4" s="223"/>
      <c r="O4" s="223"/>
    </row>
    <row r="5" spans="1:15" s="224" customFormat="1" ht="112.5" customHeight="1" x14ac:dyDescent="0.25">
      <c r="A5" s="277" t="s">
        <v>368</v>
      </c>
      <c r="B5" s="278"/>
      <c r="C5" s="278" t="s">
        <v>369</v>
      </c>
      <c r="D5" s="278"/>
      <c r="E5" s="278" t="s">
        <v>370</v>
      </c>
      <c r="F5" s="278"/>
      <c r="G5" s="225" t="s">
        <v>402</v>
      </c>
      <c r="H5" s="226" t="s">
        <v>403</v>
      </c>
      <c r="I5" s="223"/>
      <c r="J5" s="223"/>
      <c r="K5" s="223"/>
      <c r="L5" s="223"/>
      <c r="M5" s="223"/>
      <c r="N5" s="223"/>
      <c r="O5" s="223"/>
    </row>
    <row r="6" spans="1:15" ht="30.75" customHeight="1" x14ac:dyDescent="0.25">
      <c r="A6" s="227" t="s">
        <v>355</v>
      </c>
      <c r="B6" s="228" t="s">
        <v>266</v>
      </c>
      <c r="C6" s="228" t="s">
        <v>376</v>
      </c>
      <c r="D6" s="228" t="s">
        <v>373</v>
      </c>
      <c r="E6" s="228" t="s">
        <v>481</v>
      </c>
      <c r="F6" s="228" t="s">
        <v>375</v>
      </c>
      <c r="G6" s="229">
        <v>139373675</v>
      </c>
      <c r="H6" s="225">
        <v>95099304.100000039</v>
      </c>
      <c r="J6" s="230"/>
    </row>
    <row r="7" spans="1:15" ht="50.25" customHeight="1" x14ac:dyDescent="0.25">
      <c r="A7" s="227" t="s">
        <v>354</v>
      </c>
      <c r="B7" s="228" t="s">
        <v>349</v>
      </c>
      <c r="C7" s="228" t="s">
        <v>383</v>
      </c>
      <c r="D7" s="228" t="s">
        <v>385</v>
      </c>
      <c r="E7" s="228" t="s">
        <v>480</v>
      </c>
      <c r="F7" s="228" t="s">
        <v>387</v>
      </c>
      <c r="G7" s="229">
        <v>1248200000</v>
      </c>
      <c r="H7" s="225">
        <v>817788306.60000038</v>
      </c>
      <c r="J7" s="230"/>
    </row>
    <row r="8" spans="1:15" ht="27.75" customHeight="1" x14ac:dyDescent="0.25">
      <c r="A8" s="227" t="s">
        <v>356</v>
      </c>
      <c r="B8" s="228" t="s">
        <v>358</v>
      </c>
      <c r="C8" s="228" t="s">
        <v>389</v>
      </c>
      <c r="D8" s="228" t="s">
        <v>390</v>
      </c>
      <c r="E8" s="228" t="s">
        <v>391</v>
      </c>
      <c r="F8" s="228" t="s">
        <v>392</v>
      </c>
      <c r="G8" s="229">
        <v>900000000</v>
      </c>
      <c r="H8" s="225">
        <v>620357237.89999998</v>
      </c>
      <c r="J8" s="230"/>
    </row>
    <row r="9" spans="1:15" ht="38.25" customHeight="1" x14ac:dyDescent="0.25">
      <c r="A9" s="227" t="s">
        <v>357</v>
      </c>
      <c r="B9" s="228" t="s">
        <v>359</v>
      </c>
      <c r="C9" s="228" t="s">
        <v>388</v>
      </c>
      <c r="D9" s="228" t="s">
        <v>393</v>
      </c>
      <c r="E9" s="228" t="s">
        <v>483</v>
      </c>
      <c r="F9" s="228" t="s">
        <v>394</v>
      </c>
      <c r="G9" s="229">
        <v>250000000</v>
      </c>
      <c r="H9" s="225">
        <v>207863948.19999999</v>
      </c>
      <c r="J9" s="230"/>
    </row>
    <row r="10" spans="1:15" ht="38.25" customHeight="1" x14ac:dyDescent="0.25">
      <c r="A10" s="227" t="s">
        <v>377</v>
      </c>
      <c r="B10" s="228" t="s">
        <v>266</v>
      </c>
      <c r="C10" s="228" t="s">
        <v>378</v>
      </c>
      <c r="D10" s="228" t="s">
        <v>373</v>
      </c>
      <c r="E10" s="228" t="s">
        <v>482</v>
      </c>
      <c r="F10" s="228" t="s">
        <v>375</v>
      </c>
      <c r="G10" s="229">
        <v>218138000</v>
      </c>
      <c r="H10" s="225">
        <v>181781666.99999997</v>
      </c>
      <c r="I10" s="231"/>
      <c r="J10" s="230"/>
    </row>
    <row r="11" spans="1:15" ht="38.25" customHeight="1" x14ac:dyDescent="0.25">
      <c r="A11" s="227" t="s">
        <v>371</v>
      </c>
      <c r="B11" s="228" t="s">
        <v>266</v>
      </c>
      <c r="C11" s="228" t="s">
        <v>372</v>
      </c>
      <c r="D11" s="228" t="s">
        <v>373</v>
      </c>
      <c r="E11" s="228" t="s">
        <v>374</v>
      </c>
      <c r="F11" s="228" t="s">
        <v>375</v>
      </c>
      <c r="G11" s="229">
        <v>692955973</v>
      </c>
      <c r="H11" s="225">
        <v>519716979</v>
      </c>
      <c r="I11" s="231"/>
      <c r="J11" s="230"/>
    </row>
    <row r="12" spans="1:15" ht="38.25" customHeight="1" x14ac:dyDescent="0.25">
      <c r="A12" s="227" t="s">
        <v>400</v>
      </c>
      <c r="B12" s="228" t="s">
        <v>266</v>
      </c>
      <c r="C12" s="228" t="s">
        <v>379</v>
      </c>
      <c r="D12" s="228" t="s">
        <v>373</v>
      </c>
      <c r="E12" s="228" t="s">
        <v>380</v>
      </c>
      <c r="F12" s="228" t="s">
        <v>375</v>
      </c>
      <c r="G12" s="229">
        <v>674283500</v>
      </c>
      <c r="H12" s="225">
        <v>594956029.39999998</v>
      </c>
      <c r="I12" s="231"/>
      <c r="J12" s="230"/>
    </row>
    <row r="13" spans="1:15" ht="38.25" customHeight="1" x14ac:dyDescent="0.25">
      <c r="A13" s="232" t="s">
        <v>350</v>
      </c>
      <c r="B13" s="233" t="s">
        <v>349</v>
      </c>
      <c r="C13" s="233" t="s">
        <v>384</v>
      </c>
      <c r="D13" s="233" t="s">
        <v>385</v>
      </c>
      <c r="E13" s="233" t="s">
        <v>386</v>
      </c>
      <c r="F13" s="233" t="s">
        <v>387</v>
      </c>
      <c r="G13" s="234">
        <v>750000000</v>
      </c>
      <c r="H13" s="225">
        <v>750000000</v>
      </c>
      <c r="I13" s="231"/>
      <c r="J13" s="230"/>
    </row>
    <row r="14" spans="1:15" s="235" customFormat="1" ht="94.5" customHeight="1" x14ac:dyDescent="0.3">
      <c r="A14" s="232" t="s">
        <v>350</v>
      </c>
      <c r="B14" s="233" t="s">
        <v>272</v>
      </c>
      <c r="C14" s="233" t="s">
        <v>384</v>
      </c>
      <c r="D14" s="233" t="s">
        <v>381</v>
      </c>
      <c r="E14" s="233" t="s">
        <v>386</v>
      </c>
      <c r="F14" s="228" t="s">
        <v>382</v>
      </c>
      <c r="G14" s="234">
        <v>150000000</v>
      </c>
      <c r="H14" s="225">
        <v>150000000</v>
      </c>
      <c r="J14" s="230"/>
    </row>
    <row r="15" spans="1:15" s="235" customFormat="1" ht="102.75" customHeight="1" x14ac:dyDescent="0.3">
      <c r="A15" s="227" t="s">
        <v>354</v>
      </c>
      <c r="B15" s="228" t="s">
        <v>266</v>
      </c>
      <c r="C15" s="228" t="s">
        <v>383</v>
      </c>
      <c r="D15" s="228" t="s">
        <v>373</v>
      </c>
      <c r="E15" s="228" t="s">
        <v>480</v>
      </c>
      <c r="F15" s="228" t="s">
        <v>375</v>
      </c>
      <c r="G15" s="234">
        <v>500000000</v>
      </c>
      <c r="H15" s="225">
        <v>500000000</v>
      </c>
      <c r="J15" s="230"/>
    </row>
    <row r="16" spans="1:15" s="235" customFormat="1" ht="96" customHeight="1" x14ac:dyDescent="0.3">
      <c r="A16" s="227" t="s">
        <v>400</v>
      </c>
      <c r="B16" s="228" t="s">
        <v>266</v>
      </c>
      <c r="C16" s="228" t="s">
        <v>379</v>
      </c>
      <c r="D16" s="228" t="s">
        <v>373</v>
      </c>
      <c r="E16" s="228" t="s">
        <v>380</v>
      </c>
      <c r="F16" s="228" t="s">
        <v>375</v>
      </c>
      <c r="G16" s="234">
        <v>1283781000</v>
      </c>
      <c r="H16" s="225">
        <v>1283781000</v>
      </c>
      <c r="J16" s="230"/>
    </row>
    <row r="17" spans="1:10" s="235" customFormat="1" ht="114.75" customHeight="1" x14ac:dyDescent="0.3">
      <c r="A17" s="227" t="s">
        <v>400</v>
      </c>
      <c r="B17" s="233" t="s">
        <v>266</v>
      </c>
      <c r="C17" s="233" t="s">
        <v>379</v>
      </c>
      <c r="D17" s="233" t="s">
        <v>373</v>
      </c>
      <c r="E17" s="233" t="s">
        <v>380</v>
      </c>
      <c r="F17" s="233" t="s">
        <v>375</v>
      </c>
      <c r="G17" s="234">
        <v>362881650</v>
      </c>
      <c r="H17" s="225">
        <v>362881650</v>
      </c>
      <c r="J17" s="230"/>
    </row>
    <row r="18" spans="1:10" s="235" customFormat="1" ht="114.75" customHeight="1" x14ac:dyDescent="0.3">
      <c r="A18" s="232" t="s">
        <v>350</v>
      </c>
      <c r="B18" s="233" t="s">
        <v>349</v>
      </c>
      <c r="C18" s="233" t="s">
        <v>384</v>
      </c>
      <c r="D18" s="233" t="s">
        <v>385</v>
      </c>
      <c r="E18" s="233" t="s">
        <v>386</v>
      </c>
      <c r="F18" s="233" t="s">
        <v>387</v>
      </c>
      <c r="G18" s="234">
        <v>1000000000</v>
      </c>
      <c r="H18" s="225">
        <v>1000000000</v>
      </c>
      <c r="J18" s="230"/>
    </row>
    <row r="19" spans="1:10" s="235" customFormat="1" ht="114.75" customHeight="1" x14ac:dyDescent="0.3">
      <c r="A19" s="232" t="s">
        <v>350</v>
      </c>
      <c r="B19" s="233" t="s">
        <v>272</v>
      </c>
      <c r="C19" s="233" t="s">
        <v>384</v>
      </c>
      <c r="D19" s="233" t="s">
        <v>381</v>
      </c>
      <c r="E19" s="233" t="s">
        <v>386</v>
      </c>
      <c r="F19" s="228" t="s">
        <v>382</v>
      </c>
      <c r="G19" s="234">
        <v>150000000</v>
      </c>
      <c r="H19" s="225">
        <v>150000000</v>
      </c>
      <c r="J19" s="230"/>
    </row>
    <row r="20" spans="1:10" s="235" customFormat="1" ht="114.75" customHeight="1" x14ac:dyDescent="0.3">
      <c r="A20" s="228" t="s">
        <v>400</v>
      </c>
      <c r="B20" s="228" t="s">
        <v>266</v>
      </c>
      <c r="C20" s="228" t="s">
        <v>379</v>
      </c>
      <c r="D20" s="228" t="s">
        <v>373</v>
      </c>
      <c r="E20" s="228" t="s">
        <v>380</v>
      </c>
      <c r="F20" s="228" t="s">
        <v>375</v>
      </c>
      <c r="G20" s="229">
        <v>731221200</v>
      </c>
      <c r="H20" s="225">
        <v>731221200</v>
      </c>
      <c r="J20" s="230"/>
    </row>
    <row r="21" spans="1:10" s="235" customFormat="1" ht="114.75" customHeight="1" x14ac:dyDescent="0.3">
      <c r="A21" s="228" t="s">
        <v>354</v>
      </c>
      <c r="B21" s="228" t="s">
        <v>478</v>
      </c>
      <c r="C21" s="228" t="s">
        <v>383</v>
      </c>
      <c r="D21" s="228" t="s">
        <v>490</v>
      </c>
      <c r="E21" s="228" t="s">
        <v>489</v>
      </c>
      <c r="F21" s="228" t="s">
        <v>491</v>
      </c>
      <c r="G21" s="229">
        <v>375000000</v>
      </c>
      <c r="H21" s="225">
        <v>375000000</v>
      </c>
      <c r="J21" s="230"/>
    </row>
    <row r="22" spans="1:10" s="235" customFormat="1" ht="114.75" customHeight="1" x14ac:dyDescent="0.3">
      <c r="A22" s="228" t="s">
        <v>492</v>
      </c>
      <c r="B22" s="228" t="s">
        <v>485</v>
      </c>
      <c r="C22" s="228" t="s">
        <v>488</v>
      </c>
      <c r="D22" s="228" t="s">
        <v>486</v>
      </c>
      <c r="E22" s="228" t="s">
        <v>487</v>
      </c>
      <c r="F22" s="228" t="s">
        <v>394</v>
      </c>
      <c r="G22" s="229">
        <v>469729975</v>
      </c>
      <c r="H22" s="225">
        <v>469729975</v>
      </c>
      <c r="J22" s="230"/>
    </row>
    <row r="23" spans="1:10" ht="73.5" customHeight="1" thickBot="1" x14ac:dyDescent="0.3">
      <c r="A23" s="275" t="s">
        <v>395</v>
      </c>
      <c r="B23" s="276"/>
      <c r="C23" s="276" t="s">
        <v>396</v>
      </c>
      <c r="D23" s="276"/>
      <c r="E23" s="276" t="s">
        <v>397</v>
      </c>
      <c r="F23" s="276"/>
      <c r="G23" s="236"/>
      <c r="H23" s="237"/>
      <c r="J23" s="230"/>
    </row>
    <row r="24" spans="1:10" ht="35.1" customHeight="1" x14ac:dyDescent="0.25"/>
    <row r="25" spans="1:10" ht="27.75" customHeight="1" x14ac:dyDescent="0.25"/>
    <row r="26" spans="1:10" ht="54.75" customHeight="1" x14ac:dyDescent="0.25"/>
  </sheetData>
  <mergeCells count="12">
    <mergeCell ref="A2:B2"/>
    <mergeCell ref="C2:D2"/>
    <mergeCell ref="E2:F2"/>
    <mergeCell ref="A4:B4"/>
    <mergeCell ref="C4:D4"/>
    <mergeCell ref="E4:F4"/>
    <mergeCell ref="A23:B23"/>
    <mergeCell ref="C23:D23"/>
    <mergeCell ref="E23:F23"/>
    <mergeCell ref="A5:B5"/>
    <mergeCell ref="C5:D5"/>
    <mergeCell ref="E5:F5"/>
  </mergeCells>
  <hyperlinks>
    <hyperlink ref="D22" r:id="rId1" display="https://www.facebook.com/ardshinbank?__cft__%5b0%5d=AZX4cLQ36QQaveYmBJLNwM4i3yFL-Jq3lRMglBMvmMyCeaCmf9KseiRpedNzsD-w-NUz5L1S3K9pPu7PRUOKhTbC9zl5ixI2qODNbaDOK9ZJTdu8Aeg6oTqRZlc5bdxBSExwRTq39SrkOfi8-FJqwhyrVUTqvR1t9KnNN6VATB5fXzqOBdW76ka9eHqdrKDhscC4ZqJLedR9d_aUCgzs2r4a&amp;__tn__=-UC%2CP-R"/>
  </hyperlinks>
  <printOptions horizontalCentered="1"/>
  <pageMargins left="0.5" right="0.5" top="0.25" bottom="0.25" header="7.0000000000000007E-2" footer="0.16"/>
  <pageSetup paperSize="9" scale="40" orientation="landscape" r:id="rId2"/>
  <headerFooter>
    <oddFooter>&amp;R9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հունվար</vt:lpstr>
      <vt:lpstr>փետրվոր</vt:lpstr>
      <vt:lpstr>բյուջետային երաշխիք</vt:lpstr>
      <vt:lpstr>Government Guarantees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Sargsyan</dc:creator>
  <cp:lastModifiedBy>Lusine Grigoryan</cp:lastModifiedBy>
  <cp:lastPrinted>2023-08-01T13:36:12Z</cp:lastPrinted>
  <dcterms:created xsi:type="dcterms:W3CDTF">2021-02-19T11:33:22Z</dcterms:created>
  <dcterms:modified xsi:type="dcterms:W3CDTF">2025-03-11T09:30:32Z</dcterms:modified>
</cp:coreProperties>
</file>